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65356" windowWidth="7680" windowHeight="8625" tabRatio="830" activeTab="0"/>
  </bookViews>
  <sheets>
    <sheet name="Introduction" sheetId="1" r:id="rId1"/>
    <sheet name="Performance Summary" sheetId="2" r:id="rId2"/>
    <sheet name="Capacity" sheetId="3" r:id="rId3"/>
    <sheet name="Demand Forecasting" sheetId="4" r:id="rId4"/>
    <sheet name="Data Publication" sheetId="5" r:id="rId5"/>
    <sheet name="Shrinkage" sheetId="6" r:id="rId6"/>
    <sheet name="Ops Margin" sheetId="7" r:id="rId7"/>
    <sheet name="Residual Balancing" sheetId="8" r:id="rId8"/>
    <sheet name="Greenhouse Gas Emissions" sheetId="9" r:id="rId9"/>
    <sheet name="Unaccounted for Gas" sheetId="10" r:id="rId10"/>
    <sheet name="Graph Data" sheetId="11" state="hidden" r:id="rId11"/>
  </sheets>
  <definedNames>
    <definedName name="_AtRisk_SimSetting_AutomaticallyGenerateReports" hidden="1">FALSE</definedName>
    <definedName name="_AtRisk_SimSetting_AutomaticResultsDisplayMode" hidden="1">1</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13</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"W5KFGI8IRRCSV3JQLGDVPIV1"</definedName>
    <definedName name="_xlnm.Print_Area" localSheetId="2">'Capacity'!$C$1:$Q$95</definedName>
    <definedName name="_xlnm.Print_Area" localSheetId="4">'Data Publication'!$B$1:$Q$150</definedName>
    <definedName name="_xlnm.Print_Area" localSheetId="3">'Demand Forecasting'!$B$1:$K$103</definedName>
    <definedName name="_xlnm.Print_Area" localSheetId="8">'Greenhouse Gas Emissions'!$B$1:$I$97</definedName>
    <definedName name="_xlnm.Print_Area" localSheetId="0">'Introduction'!$B$1:$B$47</definedName>
    <definedName name="_xlnm.Print_Area" localSheetId="6">'Ops Margin'!$B$1:$H$92</definedName>
    <definedName name="_xlnm.Print_Area" localSheetId="1">'Performance Summary'!$A$1:$U$145</definedName>
    <definedName name="_xlnm.Print_Area" localSheetId="7">'Residual Balancing'!$B$1:$P$179</definedName>
    <definedName name="_xlnm.Print_Area" localSheetId="5">'Shrinkage'!$B$1:$O$139</definedName>
    <definedName name="_xlnm.Print_Area" localSheetId="9">'Unaccounted for Gas'!$B$1:$I$102</definedName>
    <definedName name="_xlnm.Print_Titles" localSheetId="2">'Capacity'!$1:$1</definedName>
    <definedName name="_xlnm.Print_Titles" localSheetId="4">'Data Publication'!$1:$2</definedName>
    <definedName name="_xlnm.Print_Titles" localSheetId="3">'Demand Forecasting'!$1:$2</definedName>
    <definedName name="_xlnm.Print_Titles" localSheetId="8">'Greenhouse Gas Emissions'!$1:$2</definedName>
    <definedName name="_xlnm.Print_Titles" localSheetId="6">'Ops Margin'!$1:$2</definedName>
    <definedName name="_xlnm.Print_Titles" localSheetId="7">'Residual Balancing'!$1:$2</definedName>
    <definedName name="_xlnm.Print_Titles" localSheetId="5">'Shrinkage'!$1:$2</definedName>
    <definedName name="_xlnm.Print_Titles" localSheetId="9">'Unaccounted for Gas'!$1:$2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Z_9BE7F0A0_3A10_4640_A98F_FF2319704715_.wvu.Cols" localSheetId="3" hidden="1">'Demand Forecasting'!$N:$O</definedName>
    <definedName name="Z_9BE7F0A0_3A10_4640_A98F_FF2319704715_.wvu.Cols" localSheetId="8" hidden="1">'Greenhouse Gas Emissions'!$L:$M</definedName>
    <definedName name="Z_9BE7F0A0_3A10_4640_A98F_FF2319704715_.wvu.Cols" localSheetId="9" hidden="1">'Unaccounted for Gas'!$L:$M</definedName>
    <definedName name="Z_FB3B0A6A_112F_4D34_9738_52743F23CA8F_.wvu.Cols" localSheetId="3" hidden="1">'Demand Forecasting'!$N:$O</definedName>
    <definedName name="Z_FB3B0A6A_112F_4D34_9738_52743F23CA8F_.wvu.Cols" localSheetId="8" hidden="1">'Greenhouse Gas Emissions'!$L:$M</definedName>
    <definedName name="Z_FB3B0A6A_112F_4D34_9738_52743F23CA8F_.wvu.Cols" localSheetId="9" hidden="1">'Unaccounted for Gas'!$L:$M</definedName>
    <definedName name="Z_FBDAD214_3C17_44ED_A7B6_D19409C0830B_.wvu.Cols" localSheetId="3" hidden="1">'Demand Forecasting'!$N:$O</definedName>
    <definedName name="Z_FBDAD214_3C17_44ED_A7B6_D19409C0830B_.wvu.Cols" localSheetId="8" hidden="1">'Greenhouse Gas Emissions'!$L:$M</definedName>
    <definedName name="Z_FBDAD214_3C17_44ED_A7B6_D19409C0830B_.wvu.Cols" localSheetId="9" hidden="1">'Unaccounted for Gas'!$L:$M</definedName>
  </definedNames>
  <calcPr fullCalcOnLoad="1"/>
</workbook>
</file>

<file path=xl/sharedStrings.xml><?xml version="1.0" encoding="utf-8"?>
<sst xmlns="http://schemas.openxmlformats.org/spreadsheetml/2006/main" count="500" uniqueCount="295">
  <si>
    <t>Volume of Operating Margins (GWh)</t>
  </si>
  <si>
    <t>The chart compares cumulative absolute UAG (the blue columns) to a cumulative target (the orange line) - note that the incentive target is an annual one and therefore the monthly targets implied by the orange line are only indicative. The green band represents UAG below the target, with the bottom of the band representing a capped profit of £5m. This is an upside only incentive, therefore there is no yellow band. The end of Q1 position is a Cumulative Absolute UAG of 1,466 GWh.</t>
  </si>
  <si>
    <t>Outturn -Shrinkage Electricity (GWh)</t>
  </si>
  <si>
    <t>Cumulative Outturn (GWh)</t>
  </si>
  <si>
    <t>The chart compares cumulative total shrinkage costs (the blue bars) to an indicative cumulative target (the orange line). The green band represents costs below the target, with the bottom of the band representing the profit cap of £5m. Conversely the yellow band represents costs higher than target, with the top of the band representing a collared loss of £4m. The current position of the indicative target (as of June 2011) is £140.84m.</t>
  </si>
  <si>
    <t>The chart compares cumulative total shrinkage costs (the blue bars) to an indicative cumulative target (the orange line). The current position of the indicative target (as of June 2011) is £140.84m.</t>
  </si>
  <si>
    <t>Cap equivalent
(tonnes required to give £5m incentive revenue)</t>
  </si>
  <si>
    <t>Capped Profit = £5m</t>
  </si>
  <si>
    <t>Quarterly System Operator Incentive Report</t>
  </si>
  <si>
    <t>If the Price Performance Measure is below 1.5% on a given gas day then National Grid receives an incentive payment up to a maximum of £1,500. Conversely if the PPM is above 1.5% then National Grid incurs a penalty up to a maximum of £30,000.</t>
  </si>
  <si>
    <t xml:space="preserve">The chart compares the average Price Performance Measure in the month (the blue line) to the incentive target (the orange line), where the target is a PPM of 1.5%. For Q1, in April the Average PPM was above the desired target (2.72%), but the May and June Average PPM was well within target (0.87% for May and 0.57% for June). </t>
  </si>
  <si>
    <t>The chart compares the average Price Performance Measure in the month (the blue line) to the incentive target (the orange line), where the target is a PPM of 1.5%. The green band represents a PPM lower than the target, with the bottom of the band representing a profit of £1,500/day. Similarly the yellow band represents a PPM higher than the target, with the top of the band representing an illustrative loss of £3,500/day - this is not the incentive collar. For Q1, in April the Average PPM was above the desired target (2.72%), but the May and June Average PPM was well within target (0.87% for May and 0.57% for June).</t>
  </si>
  <si>
    <t>The chart compares the cumulative mass of natural gas vented (the blue columns) to a cumulative target (the orange band) - note that the incentive target is an annual one and therefore the monthly targets are only indicative. The green band represents venting below the target, with the bottom of the band representing an illustrative payment of £500k - this is not the incentive cap. Conversely the yellow band represents vented gas above the target, with the top of the band representing an illustrative penalty of £500k - again, this is not the incentive collar. The Q1 position is a vented mass of 546 tonnes.</t>
  </si>
  <si>
    <t>The chart compares the cumulative mass of natural gas vented (the blue columns) to a cumulative target (the orange band). The Q1 position is a vented mass of 546 tonnes.</t>
  </si>
  <si>
    <t>The chart compares cumulative absolute UAG (the blue columns) to a cumulative target (the orange line). The end of Q1 position is a Cumulative Absolute UAG of 1,466 GWh.</t>
  </si>
  <si>
    <t>The chart compares the monthly cumulative absolute forecast error (the blue line) to the incentive target (the orange line), where the target is a cumulative absolute error of 2.75% for the full year. The Cumulative Absolute Percentage Error for Q1 is 3.13%.</t>
  </si>
  <si>
    <t>The chart compares the average Linepack Measure in the month (the blue line) to the daily incentive target (the orange line), where the target is an LPM of 2.8mcm. The green band represents an LPM lower than the target, with the bottom of the band representing a capped profit of £4,000/day. Similarly the yellow band represents an LPM higher than the target, with the top of the band representing an illustrative loss of £4,000/day - this is not the incentive collar. For Q1, the LPM was lower than the target (I.E. in the green band) for all three months.</t>
  </si>
  <si>
    <t>The chart compares the average Linepack Measure in the month (the blue line) to the daily incentive target (the orange line), where the target is an LM of 2.8mcm.  For Q1, the LPM was lower than the target (I.E. in the green band) for all three months.</t>
  </si>
  <si>
    <t>The chart compares the average number of minutes for which the incentivised web pages were unavailable in the month (the blue columns) to the incentive target (the orange line), where the target represents 99.3% availability. The chart shows that in Q1, April 's performance was above target, but the performance for May and June was below target levels, resulting in an overall Q1 profit of £3,452 for the Availability portion of this incentive.</t>
  </si>
  <si>
    <t>The chart compares the average timeliness of the incentivised reports for the month (the blue columns) to the incentive target (the orange line), where the target represents 90.5% published within 10 minutes. The chart shows that in Q1, April's performance was above target, but the performance for May and June was below target levels, resulting in an overall Q1 profit of £3,006 for the Timeliness portion of this incentive.</t>
  </si>
  <si>
    <t>The demand forecasting incentive rewards improvements in demand forecasting accuracy. National Grid publishes national gas demand forecasts over a range of timescales. Since Winter 06/07, the accuracy of the forecast published day-ahead at 13:00 has been subject to an incentive.  National Grid has a performance measure of achieving a forecasting accuracy of 2.75%. This is calculated as the "Sum of each day’s absolute error divided by the sum of each day’s actual demand" over a one year time period.  This has an accompanying incentive looking at website performance – together they are both referred to as the “Quality of Information” incentive.</t>
  </si>
  <si>
    <t>More than £1,250 profit/day</t>
  </si>
  <si>
    <t>&gt;£500k</t>
  </si>
  <si>
    <t xml:space="preserve"> </t>
  </si>
  <si>
    <t xml:space="preserve">
If the performance measures for timeliness and availability are met each month then National Grid receives a total payment of £6,250 per month (£75,000 per annum). If performance exceeds the target then National Grid receives an increased payment up to a maximum additional amount of £2,084 per month (£25,000 per annum). If performance is below target National Grid incurs a penalty of up to £8,334 (£100,000 per annum).</t>
  </si>
  <si>
    <t>Sum of Actual Demand (mcm)</t>
  </si>
  <si>
    <t>Sum of Absolute Error (mcm)</t>
  </si>
  <si>
    <t>Cumulative Actual Demand (mcm)</t>
  </si>
  <si>
    <t>Cumulative Absolute Error (mcm)</t>
  </si>
  <si>
    <t>Absolute Percentage Error</t>
  </si>
  <si>
    <t>Cumulative Absolute Percentage Error</t>
  </si>
  <si>
    <t>Cumulative Sum of DPIP (£)</t>
  </si>
  <si>
    <t>Sum of DPIP (£k)</t>
  </si>
  <si>
    <t>Cumulative Sum of DPIP (£m)</t>
  </si>
  <si>
    <t>Min PPM (%)</t>
  </si>
  <si>
    <t>Max PPM (%)</t>
  </si>
  <si>
    <t>Cumulative Sum of DLIP (£)</t>
  </si>
  <si>
    <t>Sum of DLIP (£k)</t>
  </si>
  <si>
    <t>Min LPM (mcm)</t>
  </si>
  <si>
    <t>Max LPM (mcm)</t>
  </si>
  <si>
    <t>Month</t>
  </si>
  <si>
    <t>Volume of sells (kWh)</t>
  </si>
  <si>
    <t>Volume of buys (kWh)</t>
  </si>
  <si>
    <t>Number of buys</t>
  </si>
  <si>
    <t>Number of sells</t>
  </si>
  <si>
    <t>Total</t>
  </si>
  <si>
    <t>-</t>
  </si>
  <si>
    <t>Website Performance</t>
  </si>
  <si>
    <t>Timeliness - QWTIR</t>
  </si>
  <si>
    <t>Availability - QWAIR</t>
  </si>
  <si>
    <t>Timeliness %</t>
  </si>
  <si>
    <t>Prevailing View - WAPPV</t>
  </si>
  <si>
    <t>Data Item Explorer - WAPDE</t>
  </si>
  <si>
    <t>Report Explorer - WAPRE</t>
  </si>
  <si>
    <t>Predicted Closing Line Pack - WTPL</t>
  </si>
  <si>
    <t>National Forecast Flow - WTPNN</t>
  </si>
  <si>
    <t>National Physical Flow - WTPNA</t>
  </si>
  <si>
    <t>NTS Throughput (Forecast) - WTPDF</t>
  </si>
  <si>
    <t>Price</t>
  </si>
  <si>
    <t>Linepack</t>
  </si>
  <si>
    <t>Trades</t>
  </si>
  <si>
    <t>Sum of Daily Price Incentive Payment (DPIP) (£)</t>
  </si>
  <si>
    <t>Number of days - buys</t>
  </si>
  <si>
    <t>BUY Min Price (ppt)</t>
  </si>
  <si>
    <t>BUY Max Price (ppt)</t>
  </si>
  <si>
    <t>SELL Min Price (ppt)</t>
  </si>
  <si>
    <t>SELL Max Price (ppt)</t>
  </si>
  <si>
    <t>Minimum Percentage Error</t>
  </si>
  <si>
    <t>Maximum Percentage Error</t>
  </si>
  <si>
    <t>Scheme Description:</t>
  </si>
  <si>
    <t>Availability - Minutes</t>
  </si>
  <si>
    <t>Sum of Daily Linepack Incentive Payment (£) DLIP</t>
  </si>
  <si>
    <t>RESIDUAL BALANCING</t>
  </si>
  <si>
    <t>DEMAND FORECASTING</t>
  </si>
  <si>
    <t>OPERATING MARGINS</t>
  </si>
  <si>
    <t>=</t>
  </si>
  <si>
    <t xml:space="preserve">Buyback Cost Performance Measure </t>
  </si>
  <si>
    <t>Total Capacity Constraint Management Costs  BBCd,t + ECCCd,t</t>
  </si>
  <si>
    <t>Daily Sales Revenue From Obligated Capacity ANIOEnCRDt + AFIOEnCRDt</t>
  </si>
  <si>
    <t>Revenue from locational sells</t>
  </si>
  <si>
    <t>New Term - any other revenue which the Authority decides (Nothing put through this yet)</t>
  </si>
  <si>
    <t>Non-Obligated Sales Revenue NB This is now total non-ob sales minus those associated with accelerated release</t>
  </si>
  <si>
    <t>NB: "Sell" is depicted as a negative figure for graphical purposes only</t>
  </si>
  <si>
    <t>TOTAL</t>
  </si>
  <si>
    <t>Natural Gas Vented, in tonnes, from Gas Powered Compressors (MEVt)</t>
  </si>
  <si>
    <t>Target</t>
  </si>
  <si>
    <t>Number of days - sells</t>
  </si>
  <si>
    <t>1.2 Nature of information provided in this report</t>
  </si>
  <si>
    <t>1.3 Structure of Report</t>
  </si>
  <si>
    <t xml:space="preserve">     Capacity, </t>
  </si>
  <si>
    <t xml:space="preserve">     Demand Forecasting, </t>
  </si>
  <si>
    <t xml:space="preserve">     Operating Margins, </t>
  </si>
  <si>
    <t xml:space="preserve">     Residual Balancing, </t>
  </si>
  <si>
    <t xml:space="preserve">     Shrinkage, </t>
  </si>
  <si>
    <t>QDIP</t>
  </si>
  <si>
    <t>Days in month</t>
  </si>
  <si>
    <t>Cumulative Natural Gas Vented</t>
  </si>
  <si>
    <t>UNACCOUNTED FOR GAS INCENTIVE</t>
  </si>
  <si>
    <t>Cumulative EnCOBBIPt</t>
  </si>
  <si>
    <t>Definitions</t>
  </si>
  <si>
    <t>QWAIR</t>
  </si>
  <si>
    <t>QWTIR</t>
  </si>
  <si>
    <t>WAPPV</t>
  </si>
  <si>
    <t>WAPDE</t>
  </si>
  <si>
    <t>WAPRE</t>
  </si>
  <si>
    <t>WTPL</t>
  </si>
  <si>
    <t>WTPNN</t>
  </si>
  <si>
    <t>WTPNA</t>
  </si>
  <si>
    <t>WTPDF</t>
  </si>
  <si>
    <t>The quality of website availability incentive revenue</t>
  </si>
  <si>
    <t>The website availability performance measure expressed as the number of minutes of downtime of the Operational Data&gt;Prevailing View screen</t>
  </si>
  <si>
    <t>The website availability performance measure expressed as the number of minutes of downtime of the Operational Data&gt;Report Explorer screen</t>
  </si>
  <si>
    <t>The website availability performance measure expressed as the number of minutes of downtime of the Operational Data&gt;Data Explorer screen</t>
  </si>
  <si>
    <t>The website timeliness performance measure for the Predicted Closing Linepack Data Item or Report</t>
  </si>
  <si>
    <t>The website timeliness performance measure for the National Forecast Flow Data Item or Report</t>
  </si>
  <si>
    <t>The website timeliness performance measure for the National Physical Flow Data Item or Report</t>
  </si>
  <si>
    <t>Total (QWAIR + QWTIR)</t>
  </si>
  <si>
    <t>Cumulative Availability - QWAIR</t>
  </si>
  <si>
    <t>Cumulative Timeliness - QWTIR</t>
  </si>
  <si>
    <t>The quality of website timeliness incentive revenue</t>
  </si>
  <si>
    <t>"HIDE" THIS SPREADSHEET ONCE EVERYTHING IS COMPLETED</t>
  </si>
  <si>
    <t>This information is used to derive the graph parameters for each scheme</t>
  </si>
  <si>
    <t xml:space="preserve">Scheme parameters </t>
  </si>
  <si>
    <t>Cap Point</t>
  </si>
  <si>
    <t>Break Point</t>
  </si>
  <si>
    <t>Collar Point</t>
  </si>
  <si>
    <t>£m</t>
  </si>
  <si>
    <t>Zero Point</t>
  </si>
  <si>
    <t>Spend</t>
  </si>
  <si>
    <t>QDIIR, £m</t>
  </si>
  <si>
    <t>Shrinkage</t>
  </si>
  <si>
    <t>budget</t>
  </si>
  <si>
    <t>Operating Margins</t>
  </si>
  <si>
    <t>Utilisation</t>
  </si>
  <si>
    <t>Residual Balancing</t>
  </si>
  <si>
    <t>Scheme Parameters</t>
  </si>
  <si>
    <t>STIP</t>
  </si>
  <si>
    <t>RBIR</t>
  </si>
  <si>
    <t>Demand Forecasting</t>
  </si>
  <si>
    <t>Lower Target</t>
  </si>
  <si>
    <t>Upper Target</t>
  </si>
  <si>
    <t>Tonnes</t>
  </si>
  <si>
    <t>EIR, £m</t>
  </si>
  <si>
    <t>NTS Unaccounted for Gas</t>
  </si>
  <si>
    <t>Environmental</t>
  </si>
  <si>
    <t>Capacity</t>
  </si>
  <si>
    <t>Market Information</t>
  </si>
  <si>
    <t>Breakpoint</t>
  </si>
  <si>
    <t>PPM</t>
  </si>
  <si>
    <t>Cap point</t>
  </si>
  <si>
    <t>Collar point</t>
  </si>
  <si>
    <t>LM</t>
  </si>
  <si>
    <t>Performance</t>
  </si>
  <si>
    <t>Supporting Data</t>
  </si>
  <si>
    <t>Introduction</t>
  </si>
  <si>
    <t xml:space="preserve">     Unaccounted for Gas.</t>
  </si>
  <si>
    <t>If the Linepack Measure is below 2.8mcm on a given gas day then National Grid receives an incentive payment up to a maximum of £4,000. This maximum applies at 1.5mcm, so there is no incentive for National Grid to balance the system beyond this point. Conversely if the Linepack Measure is above 2.8mcm then National Grid incurs a penalty up to a maximum of £30,000.</t>
  </si>
  <si>
    <t>PPM Target</t>
  </si>
  <si>
    <t>QDIP, %</t>
  </si>
  <si>
    <t>Scheme Description</t>
  </si>
  <si>
    <t>Maximum Incentive Profit: £5m</t>
  </si>
  <si>
    <t>DATA PUBLICATION</t>
  </si>
  <si>
    <t xml:space="preserve">     Data Publication,</t>
  </si>
  <si>
    <t>Unaccounted for Gas
(GWh)
UAGOt</t>
  </si>
  <si>
    <t>Incentive Target
(GWh)</t>
  </si>
  <si>
    <t>Cumulative Sum of DLIP (£m)</t>
  </si>
  <si>
    <t>Average Timeliness (%)</t>
  </si>
  <si>
    <t>Availability Target (Minutes)</t>
  </si>
  <si>
    <t>Incentive loss £100/month</t>
  </si>
  <si>
    <t>Incentive profit +£100/month</t>
  </si>
  <si>
    <t>Timeliness target (%)</t>
  </si>
  <si>
    <t>Incentive loss £250/month</t>
  </si>
  <si>
    <t>Incentive profit +£250/month</t>
  </si>
  <si>
    <t>Availability (Minutes)</t>
  </si>
  <si>
    <t>Loss above £250/month</t>
  </si>
  <si>
    <t>1.1 Purpose</t>
  </si>
  <si>
    <t>National Grid auctions firm capacity for entry onto the National Transmission System (NTS) at ASEPs (Aggregated System Entry Points). If constraints arise on the day and flows into the network exceed operational limits, National Grid may have to buy back firm entry capacity to reduce flows. National Grid is incentivised to keep these costs down by managing the NTS efficiently.</t>
  </si>
  <si>
    <t>Revenue received from interruptible capacity sales</t>
  </si>
  <si>
    <t>Revenue from overrun charges (one month in arrears)</t>
  </si>
  <si>
    <t>Deadband</t>
  </si>
  <si>
    <t>Cumulative Gross UAG
(GWh)</t>
  </si>
  <si>
    <t>Up to £100 loss/month</t>
  </si>
  <si>
    <t>Up to £250 loss/month</t>
  </si>
  <si>
    <t>Up to £3,225 profit/month</t>
  </si>
  <si>
    <t>Profit above £3,225/month</t>
  </si>
  <si>
    <t>Up to £3,400 profit/month</t>
  </si>
  <si>
    <t>Up to £5m profit</t>
  </si>
  <si>
    <t>Up to £4m loss</t>
  </si>
  <si>
    <t>Up to £1.6m Profit</t>
  </si>
  <si>
    <t>Up to £1.6m Loss</t>
  </si>
  <si>
    <t>Average Monthly PPM (%)</t>
  </si>
  <si>
    <t>More than £4,000 profit/day</t>
  </si>
  <si>
    <t>Up to £4,000 profit/day</t>
  </si>
  <si>
    <t>Up to £4,000 loss/day</t>
  </si>
  <si>
    <t>The purpose of this Incentive is to incentivise a reduction in the absolute volumes of unaccounted for gas (UAG) over a 3 year period beginning in 2009. UAG is that energy which remains unallocated after accounting for all measured inputs and outputs from the NTS, Own Use Gas consumption, CV shrinkage and the change in NTS linepack. The primary cause is believed to be the inherent metering tolerances associated with entry and exit meters.</t>
  </si>
  <si>
    <t>Cumulative Absolute UAG (GWh)</t>
  </si>
  <si>
    <t>The UAG incentive is an upside only incentive in which National Grid will receive a payment of £4,667 for every GWh that absolute annual UAG is below 2,862GWh. The incentive has been set for three years with a cap on the amount that National Grid can earn each year of £2m in 2009/10, £3m in 2010/11 and £5m in 2011/12.</t>
  </si>
  <si>
    <r>
      <t>Performance Measure</t>
    </r>
    <r>
      <rPr>
        <sz val="11"/>
        <rFont val="Arial"/>
        <family val="2"/>
      </rPr>
      <t>: Costs of Entry Capacity constraint management actions</t>
    </r>
  </si>
  <si>
    <r>
      <t>EnCOBBIP</t>
    </r>
    <r>
      <rPr>
        <b/>
        <vertAlign val="subscript"/>
        <sz val="11"/>
        <rFont val="Arial"/>
        <family val="2"/>
      </rPr>
      <t>t</t>
    </r>
  </si>
  <si>
    <r>
      <t>EnCOBBC</t>
    </r>
    <r>
      <rPr>
        <b/>
        <vertAlign val="subscript"/>
        <sz val="11"/>
        <rFont val="Arial"/>
        <family val="2"/>
      </rPr>
      <t>t</t>
    </r>
  </si>
  <si>
    <r>
      <t>AOEnCRD</t>
    </r>
    <r>
      <rPr>
        <b/>
        <vertAlign val="subscript"/>
        <sz val="11"/>
        <rFont val="Arial"/>
        <family val="2"/>
      </rPr>
      <t>t</t>
    </r>
  </si>
  <si>
    <r>
      <t>REVIC</t>
    </r>
    <r>
      <rPr>
        <b/>
        <vertAlign val="subscript"/>
        <sz val="11"/>
        <rFont val="Arial"/>
        <family val="2"/>
      </rPr>
      <t>t</t>
    </r>
  </si>
  <si>
    <r>
      <t>(ANOEnCR</t>
    </r>
    <r>
      <rPr>
        <b/>
        <vertAlign val="subscript"/>
        <sz val="11"/>
        <rFont val="Arial"/>
        <family val="2"/>
      </rPr>
      <t xml:space="preserve">t </t>
    </r>
    <r>
      <rPr>
        <b/>
        <sz val="11"/>
        <rFont val="Arial"/>
        <family val="2"/>
      </rPr>
      <t>- EnCNOIR</t>
    </r>
    <r>
      <rPr>
        <b/>
        <vertAlign val="subscript"/>
        <sz val="11"/>
        <rFont val="Arial"/>
        <family val="2"/>
      </rPr>
      <t>t</t>
    </r>
    <r>
      <rPr>
        <b/>
        <sz val="11"/>
        <rFont val="Arial"/>
        <family val="2"/>
      </rPr>
      <t>)</t>
    </r>
  </si>
  <si>
    <r>
      <t>RCOR</t>
    </r>
    <r>
      <rPr>
        <b/>
        <vertAlign val="subscript"/>
        <sz val="11"/>
        <rFont val="Arial"/>
        <family val="2"/>
      </rPr>
      <t>t</t>
    </r>
  </si>
  <si>
    <r>
      <t>RLOC</t>
    </r>
    <r>
      <rPr>
        <b/>
        <vertAlign val="subscript"/>
        <sz val="11"/>
        <rFont val="Arial"/>
        <family val="2"/>
      </rPr>
      <t>t</t>
    </r>
  </si>
  <si>
    <r>
      <t>RADD</t>
    </r>
    <r>
      <rPr>
        <b/>
        <vertAlign val="subscript"/>
        <sz val="11"/>
        <rFont val="Arial"/>
        <family val="2"/>
      </rPr>
      <t>t</t>
    </r>
  </si>
  <si>
    <t>Natural Gas Vented, in tonnes, from Compressors (VIPMt)</t>
  </si>
  <si>
    <t>Cumulative Natural Gas Vented in tonnes</t>
  </si>
  <si>
    <r>
      <t>Performance Measure</t>
    </r>
    <r>
      <rPr>
        <sz val="11"/>
        <rFont val="Arial"/>
        <family val="2"/>
      </rPr>
      <t>: Level of Forecast Error</t>
    </r>
  </si>
  <si>
    <t>Key Terms
Availability</t>
  </si>
  <si>
    <t>Key Terms
Timeliness</t>
  </si>
  <si>
    <r>
      <t>Performance Measure</t>
    </r>
    <r>
      <rPr>
        <sz val="11"/>
        <rFont val="Arial"/>
        <family val="2"/>
      </rPr>
      <t>: Timeliness &amp; Availibility of the website</t>
    </r>
  </si>
  <si>
    <r>
      <t>Performance Measure</t>
    </r>
    <r>
      <rPr>
        <sz val="11"/>
        <rFont val="Arial"/>
        <family val="2"/>
      </rPr>
      <t>: Costs</t>
    </r>
  </si>
  <si>
    <r>
      <t>Performance Measure</t>
    </r>
    <r>
      <rPr>
        <sz val="11"/>
        <rFont val="Arial"/>
        <family val="2"/>
      </rPr>
      <t>: the price differential between any National Grid trades, divided by SAP.</t>
    </r>
  </si>
  <si>
    <r>
      <t>Performance Measure</t>
    </r>
    <r>
      <rPr>
        <sz val="11"/>
        <rFont val="Arial"/>
        <family val="2"/>
      </rPr>
      <t>: the absolute difference between starting and closing NTS linepack over a gas day.</t>
    </r>
  </si>
  <si>
    <r>
      <t>Performance Measure</t>
    </r>
    <r>
      <rPr>
        <sz val="11"/>
        <rFont val="Arial"/>
        <family val="2"/>
      </rPr>
      <t>: Mass of natural gas vented from NTS compressors</t>
    </r>
  </si>
  <si>
    <r>
      <t>Performance Measure</t>
    </r>
    <r>
      <rPr>
        <sz val="11"/>
        <rFont val="Arial"/>
        <family val="2"/>
      </rPr>
      <t>: Absolute Level of UAG</t>
    </r>
  </si>
  <si>
    <t>Absolute volume of Unaccounted for Gas (GWh) UAGOt</t>
  </si>
  <si>
    <t>The website timeliness performance measure for the NTS Throughput Data Item or Report</t>
  </si>
  <si>
    <t>Data Publication</t>
  </si>
  <si>
    <t>Unaccounted for Gas</t>
  </si>
  <si>
    <t>Cumulative Incentive Target (GWh)</t>
  </si>
  <si>
    <t>Incentive Revenue
£</t>
  </si>
  <si>
    <t>Average Monthly LPM (mcm)</t>
  </si>
  <si>
    <t>The incentive contains two elements, the Price Performance Measure (PPM) and the Linepack Measure (LPM). As National Grid has no direct exposure to the costs of its balancing actions, the PPM is set to encourage National Grid to trade efficiently on behalf of the community, minimising the overall costs passed to neutrality and paid by shippers, and minimising its impact on cashout prices. The PPM is defined as the price differential between any National Grid trades, measured as a percentage of System Average Price (SAP), which encourages price efficiency by incentivising National Grid to carry out any balancing actions in a narrow price band. The LPM incentivises National Grid to minimise any changes between starting and closing NTS linepack over a gas day. This is intended to ensure that any system imbalances are resolved on the relevant day, ensuring that the costs of resolving any imbalances are targeted to those responsible for the imbalance.</t>
  </si>
  <si>
    <t>LPM Target</t>
  </si>
  <si>
    <t>LPM</t>
  </si>
  <si>
    <t>This publication contains (amongst other data) volume and cost information associated with balancing actions and shrinkage trading and is based on the latest data and information available at the time of publication. As future quarter summaries are produced, information in the graphs and tables will be updated to reflect the latest information available at that time. Changes to preliminary data that occur after the publication of the relevant quarter's report will thus be visible in the graphs and tables of future reports. Each quarterly report will report volume data on a monthly rolling basis. The cost values contained in this document are predominantly reported to 2 decimal places (£m).</t>
  </si>
  <si>
    <t>This report presents a summary of performance on the first sheet, and then covers each of the incentives in more detail:</t>
  </si>
  <si>
    <t>Average Unavailability (Minutes)</t>
  </si>
  <si>
    <t>Up to £500k payment</t>
  </si>
  <si>
    <t>Up to £500k penalty</t>
  </si>
  <si>
    <t>1.4 Further Information</t>
  </si>
  <si>
    <t>Using the above link you can access a document (called "Supporting Information") that contains further information on the existing incentive schemes, the historic levels of performance under these schemes and the impact of incentive payments on charges.</t>
  </si>
  <si>
    <t>SHRINKAGE</t>
  </si>
  <si>
    <t>OVERALL (GAS &amp; ELECTRICITY)</t>
  </si>
  <si>
    <t>Q1</t>
  </si>
  <si>
    <t>Q2</t>
  </si>
  <si>
    <t>Q3</t>
  </si>
  <si>
    <t>Q4</t>
  </si>
  <si>
    <t>Total Incentive Costs (£m) - SC t</t>
  </si>
  <si>
    <t>Cumulative Total Incentive Costs (£m) - SC t</t>
  </si>
  <si>
    <t>NTS Shrinkage Cost Incentive Target (£m) - SIT t</t>
  </si>
  <si>
    <t>Days per month</t>
  </si>
  <si>
    <t>Gas Volume and Reference Price</t>
  </si>
  <si>
    <t>Cumulative Outturn</t>
  </si>
  <si>
    <t>Traded WAP (p/therm)</t>
  </si>
  <si>
    <t>Electricity Volumes and Reference Price</t>
  </si>
  <si>
    <t>Traded WAP (£/MWh)</t>
  </si>
  <si>
    <t>Cumulative NTS Shrinkage Cost Incentive Target (£m) - SIT t</t>
  </si>
  <si>
    <t>Maximum Incentive Loss (£4m)</t>
  </si>
  <si>
    <t>Maximum Incentive Profit (£5m)</t>
  </si>
  <si>
    <t>Target Volumes GWh (GSVTP t,q)</t>
  </si>
  <si>
    <t>Outturn -Shrinkage Gas (GWh)</t>
  </si>
  <si>
    <t>Cumulative Target Volumes (GWh)</t>
  </si>
  <si>
    <t>Target Volumes GWh (EVTt,q)</t>
  </si>
  <si>
    <t>2011-2012 Q1 Performance Data</t>
  </si>
  <si>
    <t>For 2011/12 the cost target is now £16.71m. The scheme has upside and downside sharing factors of 50% with a profit cap of £16.71m and a loss collar of £12.38m (all values in 2011/12 prices).</t>
  </si>
  <si>
    <t>Target = 2.75%</t>
  </si>
  <si>
    <t>0 to 2.5%</t>
  </si>
  <si>
    <t>The sharing factors of the scheme are designed to give a profit or loss to National Grid of £1.6m for a 0.25% increase or decrease in performance around the target of 2.75% (between 2.5% and 3%). There is a shallower upside sharing factor for performance increases beyond 2.5% which extends up to a maximum payment of £8.27m, if zero average absolute demand forecast error could be achieved (i.e. zero demand forecast error on every day of a year).</t>
  </si>
  <si>
    <t>Operating Margins (OM) gas is used to maintain National Transmission System (NTS) pressures in the immediate period following operational stresses and before market balancing measures become effective. Such stresses may result from supply failure, unanticipated demand changes or failure of an NTS pipeline or associated equipment. A quantity of OM is also procured to manage the orderly run-down of the System in the event of a Network Gas Supply Emergency whilst firm load shedding takes place.National Grid is incentivised for costs of utilisation of Operating Margins gas and the costs associated with holding Operating Margins gas against a target cost.</t>
  </si>
  <si>
    <t>Up to £1,500 profit/day</t>
  </si>
  <si>
    <t>Up to £3,500 loss/day</t>
  </si>
  <si>
    <t xml:space="preserve">     Greenhouse Gas Emissions,</t>
  </si>
  <si>
    <t>Greenhouse Gas Emissions Incentive</t>
  </si>
  <si>
    <t>The chart compares the average number of minutes for which the incentivised web pages were unavailable in the month (the blue columns) to the incentive target (the orange line), where the target represents 99.3% availability. The green band represents availability better than the target, with the bottom of the band representing an illustrative profit of £3,225/month - this is not the incentive cap. Similarly the yellow band represents availability worse than the target, with the top of the band representing an illustrative loss of £100/month - this is not the incentive collar. The chart shows that in Q1, April 's performance was above target, but the performance for May and June was below target levels, resulting in an overall Q1 profit of £3,452 for the Availability portion of this incentive.</t>
  </si>
  <si>
    <t>The chart compares the average timeliness of the incentivised reports for the month (the blue columns) to the incentive target (the orange line), where the target represents 90.5% published within 10 minutes. The green band represents timeliness better than the target, with the top of the band representing an illustrative profit of £3,225/month - this is not the incentive cap. Similarly the yellow band represents timeliness worse than the target, with the bottom of the band representing an illustrative loss of £100/month - this is not the incentive collar. The chart shows that in Q1, April's performance was above target, but the performance for May and June was below target levels, resulting in an overall Q1 profit of £3,006 for the Timeliness portion of this incentive.</t>
  </si>
  <si>
    <t>The chart shows the cumulative costs of Operating Margins availability and utilisation. The total costs for Q1 were £3.99m.</t>
  </si>
  <si>
    <t>The chart shows the costs of Operating Margins availability and utilisation. The target Incentive Cost for 2011/12 for the Operating Margins incentive is £17.32m, with an Incentive Payment capped at £1m and collared at -£1m. The total costs accrued for Q1 were £3.99m.</t>
  </si>
  <si>
    <t>The chart compares the monthly cumulative absolute forecast error (the blue line) to the incentive target (the orange line), where the target is a cumulative absolute error of 2.75% for the full year. The green band represents a cumulative forecast error lower than the target, with the bottom of the band representing an illustrative profit of £1.6m - this is not the incentive cap. Similarly the yellow band represents a cumulative absolute forecast error higher than the target, with the top of the band representing a collared loss of £1.6m. The Cumulative Absolute Percentage Error for Q1 is 3.13%.</t>
  </si>
  <si>
    <t>The chart shows the monthly cumulative buy-back cost performance measure. The annual target cost for this incentive is £16.71m. Q1 performance is a cost of -£1.3m (profit of £1.3m).</t>
  </si>
  <si>
    <t>Ops Margin Availability Costs (£m)
OMAPCt</t>
  </si>
  <si>
    <t xml:space="preserve">Ops Margin Utilisation Costs (£m)
OMUPCt </t>
  </si>
  <si>
    <t>Sharing factors are 25% upside and 20% downside with a maximum incentive profit of £5m and a maximum incentive loss of £4m.
If total spend against the incentive is below the target (i.e. the cost target outperformance is positive), National Grid receives receives a payment equivalent to 25% of the underspend, subject to a limit of £5m. Conversely, if total spend is above the target, National Grid incurs a penalty of 20% of the overspend, subject to a limit of £4m.</t>
  </si>
  <si>
    <t>1.5 Consultation Documents</t>
  </si>
  <si>
    <t>Using the above link you can access an area of the National Grid website that contains any current SO Incentive consultation documents issued by National Grid, along with any responses received from interested parties.</t>
  </si>
  <si>
    <t>Final Proposal Consultation for Incentives from April 2011 - Ofgem Website</t>
  </si>
  <si>
    <t>SO Incentive Schemes from 2013 - Ofgem Website</t>
  </si>
  <si>
    <t>Unaccounted For Gas Industry Update - National Grid Website</t>
  </si>
  <si>
    <t>Q1 2011-2012 (April 2011 to June 2011)</t>
  </si>
  <si>
    <t xml:space="preserve">The Greenhouse Gas Emissions Incentive scheme encourages National Grid to make the economic trade-off between choosing to depressurise compressor units (venting the gas within them) or to keep units on standby - which incurs costs associated with ancillary electrical equipment (vent fans, oil pumps etc) and leakage through the shaft seal. The number of tonnes of natural gas vented from NTS compressors as a result of starting a compressor; purging a compressor; depressurising a compressor; or the leakage of gas through a seal around the shaft of a compressor are compared to a target volume. The incentive target volume of natural gas is 2,857 to 3,157 tonnes. The scheme has no sharing factors, caps or collars and uses a reference price of £1,145 per tonne of natural gas vented. </t>
  </si>
  <si>
    <t>The incentive target volume for 2011/12 is 2,857 to 3,157 tonnes of natural gas. For every tonne vented above or below the target, National Grid is subject to a penalty or payment of £1,145. This is equivalent to £100,000 for every 87 tonnes vented above or below the target band.</t>
  </si>
  <si>
    <t>CAPACITY</t>
  </si>
  <si>
    <t>Monthly Target</t>
  </si>
  <si>
    <t>Up to -£1m Loss</t>
  </si>
  <si>
    <t>Up to £1m Profit</t>
  </si>
  <si>
    <t>Sharing factors are 20% upside and 20% downside with a maximum incentive profit of £1m and a maximum incentive loss of -£1m.
Target Incentive Cost for 2011/12 for the Operating Margins incentive is £17.32m.</t>
  </si>
  <si>
    <t>Alongside the demand forecasting incentive, this incentive covers a broader selection of gas system data published on the National Grid website. National Grid is incentivised for the availability and timeliness of data;
* To keep the website available with a target of 99.3% (measured for three key screens).
* To publish data promptly with the target that 90.5% of hourly updates should be posted within 10 minutes of the start of the hour (measured for 3 key reports) and to publish data to comply with UNC requirements for within day and D-1 Demand forecasts (measured for 1 key report).</t>
  </si>
  <si>
    <t>Quarterly Gas System Operator Incentive Report</t>
  </si>
  <si>
    <t>The purpose of the Quarterly Gas System Operator Incentive Report is to provide information in respect of the actions / performance measures which National Grid is incentivised against during the relevant quarter in operating the gas transmission system.</t>
  </si>
  <si>
    <t>1.6 Other Useful Links</t>
  </si>
  <si>
    <t>The chart shows the monthly cumulative buy-back cost performance measure. The annual target cost for this incentive is £16.71m. The scheme has upside and downside sharing factors of 50% with a profit cap of £16.71m and a loss collar of £12.38m.  Q1 performance is a cost of -£1.3m (profit of £1.3m).</t>
  </si>
  <si>
    <t>Greenhouse Gas Emissions</t>
  </si>
  <si>
    <t>NTS Shrinkage covers the gas and electrical energy which is used in operating NTS compressors and to cater for gas that cannot be accounted for and billed in the measurement and allocation process. The components that comprise shrinkage are summarised as:  1/ Compressor Fuel Use (CFU): The energy used to run compressors to transport gas through the NTS. For gas driven compressors this is Own Use Gas (OUG), for electric driven compressors this is Electric Compressor Energy (ECE). 2/ Calorific Value (CV) shrinkage: The energy which cannot be billed due to CV capping under application of the Gas (Calculation of Thermal Energy) Regulations 1996 (amended in 1997). 3/ Unaccounted for Gas (UAG): The quantity of gas which remains after taking into account all measured inputs and outputs from the system, own use gas consumption, CV Shrinkage and the daily change in NTS linepack.</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</si>
</sst>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809]dd\ mmmm\ yyyy"/>
    <numFmt numFmtId="166" formatCode="0.0%"/>
    <numFmt numFmtId="167" formatCode="dd/mm/yy;@"/>
    <numFmt numFmtId="168" formatCode="mmm\-yyyy"/>
    <numFmt numFmtId="169" formatCode="0.000%"/>
    <numFmt numFmtId="170" formatCode="0.000"/>
    <numFmt numFmtId="171" formatCode="0.0000"/>
    <numFmt numFmtId="172" formatCode="0.00000"/>
    <numFmt numFmtId="173" formatCode="0.000000"/>
    <numFmt numFmtId="174" formatCode="0.0000000"/>
    <numFmt numFmtId="175" formatCode="0.0"/>
    <numFmt numFmtId="176" formatCode="ddd\ dd\-mmm\-yy"/>
    <numFmt numFmtId="177" formatCode="ddd\ dd\-mmm"/>
    <numFmt numFmtId="178" formatCode="dddd"/>
    <numFmt numFmtId="179" formatCode="ddd"/>
    <numFmt numFmtId="180" formatCode="0.000000000000"/>
    <numFmt numFmtId="181" formatCode="0.000000000000000%"/>
    <numFmt numFmtId="182" formatCode="mmm"/>
    <numFmt numFmtId="183" formatCode="0.00000000000000000%"/>
    <numFmt numFmtId="184" formatCode="&quot;£&quot;#,##0.00"/>
    <numFmt numFmtId="185" formatCode="#,##0.0"/>
    <numFmt numFmtId="186" formatCode="_-* #,##0_-;\-* #,##0_-;_-* &quot;-&quot;??_-;_-@_-"/>
    <numFmt numFmtId="187" formatCode="#,##0.00;\(#,##0.00\)"/>
    <numFmt numFmtId="188" formatCode="#,##0.0;\(#,##0.0\)"/>
    <numFmt numFmtId="189" formatCode="[$-F800]dddd\,\ mmmm\ dd\,\ yyyy"/>
    <numFmt numFmtId="190" formatCode="_-* #,##0.0_-;\-* #,##0.0_-;_-* &quot;-&quot;??_-;_-@_-"/>
    <numFmt numFmtId="191" formatCode="ddd\ dd/mm/yy"/>
    <numFmt numFmtId="192" formatCode="dd/mm/yyyy;@"/>
    <numFmt numFmtId="193" formatCode="0%;[Red]\-0%"/>
    <numFmt numFmtId="194" formatCode="0%;[Red]\-\(0%\)"/>
    <numFmt numFmtId="195" formatCode="0%;[Red]\(0%\)"/>
    <numFmt numFmtId="196" formatCode="#,##0.00;[Red]\(#,##0.00\)"/>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0.000;\(#,##0.000\)"/>
    <numFmt numFmtId="203" formatCode="0.00000000"/>
    <numFmt numFmtId="204" formatCode="0.000000000"/>
    <numFmt numFmtId="205" formatCode="0.0000000000"/>
    <numFmt numFmtId="206" formatCode="0.00000000000"/>
    <numFmt numFmtId="207" formatCode="mmmm\-yy"/>
    <numFmt numFmtId="208" formatCode="#,##0_);\(#,##0\)"/>
    <numFmt numFmtId="209" formatCode="&quot;£&quot;#,##0.00&quot;m&quot;"/>
    <numFmt numFmtId="210" formatCode="&quot;£&quot;#,##0.0"/>
    <numFmt numFmtId="211" formatCode="#,##0.00000"/>
    <numFmt numFmtId="212" formatCode="#,##0.0_ ;[Red]\-#,##0.0\ "/>
    <numFmt numFmtId="213" formatCode="#,##0_ ;[Red]\-#,##0\ "/>
    <numFmt numFmtId="214" formatCode="#,##0.000_ ;[Red]\-#,##0.000\ "/>
    <numFmt numFmtId="215" formatCode="#,##0.000"/>
    <numFmt numFmtId="216" formatCode="#,##0.0;[Red]\-#,##0"/>
    <numFmt numFmtId="217" formatCode="0.0000%"/>
    <numFmt numFmtId="218" formatCode="#,##0.000;[Red]\-#,##0.000"/>
    <numFmt numFmtId="219" formatCode="#,##0.0000"/>
    <numFmt numFmtId="220" formatCode="_-[$€-2]* #,##0.00_-;\-[$€-2]* #,##0.00_-;_-[$€-2]* &quot;-&quot;??_-"/>
    <numFmt numFmtId="221" formatCode="_(* #,##0.00_);_(* \(#,##0.00\);_(* &quot;-&quot;??_);_(@_)"/>
    <numFmt numFmtId="222" formatCode="_(* #,##0_);_(* \(#,##0\);_(* &quot;-&quot;_);_(@_)"/>
    <numFmt numFmtId="223" formatCode="_(&quot;$&quot;* #,##0.00_);_(&quot;$&quot;* \(#,##0.00\);_(&quot;$&quot;* &quot;-&quot;??_);_(@_)"/>
    <numFmt numFmtId="224" formatCode="_(&quot;$&quot;* #,##0_);_(&quot;$&quot;* \(#,##0\);_(&quot;$&quot;* &quot;-&quot;_);_(@_)"/>
  </numFmts>
  <fonts count="71">
    <font>
      <sz val="10"/>
      <name val="Arial"/>
      <family val="0"/>
    </font>
    <font>
      <u val="single"/>
      <sz val="10"/>
      <color indexed="20"/>
      <name val="Arial"/>
      <family val="0"/>
    </font>
    <font>
      <u val="single"/>
      <sz val="10"/>
      <color indexed="12"/>
      <name val="Arial"/>
      <family val="0"/>
    </font>
    <font>
      <sz val="8"/>
      <name val="Arial"/>
      <family val="0"/>
    </font>
    <font>
      <b/>
      <sz val="8"/>
      <name val="Arial"/>
      <family val="2"/>
    </font>
    <font>
      <b/>
      <sz val="10"/>
      <name val="Arial"/>
      <family val="2"/>
    </font>
    <font>
      <sz val="21"/>
      <name val="Arial"/>
      <family val="0"/>
    </font>
    <font>
      <b/>
      <sz val="8"/>
      <color indexed="10"/>
      <name val="Arial"/>
      <family val="0"/>
    </font>
    <font>
      <b/>
      <sz val="9"/>
      <name val="Arial"/>
      <family val="2"/>
    </font>
    <font>
      <sz val="8"/>
      <color indexed="9"/>
      <name val="Arial"/>
      <family val="0"/>
    </font>
    <font>
      <sz val="11.5"/>
      <name val="Arial"/>
      <family val="0"/>
    </font>
    <font>
      <sz val="11"/>
      <name val="Arial"/>
      <family val="0"/>
    </font>
    <font>
      <sz val="9.5"/>
      <name val="Arial"/>
      <family val="0"/>
    </font>
    <font>
      <sz val="9.25"/>
      <name val="Arial"/>
      <family val="0"/>
    </font>
    <font>
      <sz val="14.5"/>
      <name val="Arial"/>
      <family val="0"/>
    </font>
    <font>
      <sz val="10.5"/>
      <name val="Arial"/>
      <family val="0"/>
    </font>
    <font>
      <sz val="12"/>
      <name val="Arial"/>
      <family val="2"/>
    </font>
    <font>
      <sz val="14"/>
      <name val="Arial"/>
      <family val="2"/>
    </font>
    <font>
      <sz val="7.5"/>
      <color indexed="63"/>
      <name val="Arial"/>
      <family val="2"/>
    </font>
    <font>
      <sz val="14"/>
      <color indexed="48"/>
      <name val="Arial"/>
      <family val="2"/>
    </font>
    <font>
      <sz val="18"/>
      <color indexed="48"/>
      <name val="Arial"/>
      <family val="2"/>
    </font>
    <font>
      <u val="single"/>
      <sz val="18"/>
      <color indexed="48"/>
      <name val="Arial"/>
      <family val="2"/>
    </font>
    <font>
      <u val="single"/>
      <sz val="14"/>
      <color indexed="48"/>
      <name val="Arial"/>
      <family val="2"/>
    </font>
    <font>
      <b/>
      <sz val="8"/>
      <color indexed="12"/>
      <name val="Arial"/>
      <family val="2"/>
    </font>
    <font>
      <b/>
      <u val="single"/>
      <sz val="10"/>
      <name val="Arial"/>
      <family val="2"/>
    </font>
    <font>
      <sz val="20.75"/>
      <name val="Arial"/>
      <family val="0"/>
    </font>
    <font>
      <sz val="20"/>
      <name val="Arial"/>
      <family val="0"/>
    </font>
    <font>
      <sz val="10"/>
      <color indexed="10"/>
      <name val="Arial"/>
      <family val="0"/>
    </font>
    <font>
      <b/>
      <sz val="12"/>
      <color indexed="8"/>
      <name val="Arial"/>
      <family val="2"/>
    </font>
    <font>
      <b/>
      <sz val="10"/>
      <color indexed="8"/>
      <name val="Arial"/>
      <family val="2"/>
    </font>
    <font>
      <sz val="10"/>
      <color indexed="8"/>
      <name val="Arial"/>
      <family val="2"/>
    </font>
    <font>
      <b/>
      <sz val="10.5"/>
      <color indexed="8"/>
      <name val="Arial"/>
      <family val="2"/>
    </font>
    <font>
      <b/>
      <u val="single"/>
      <sz val="8"/>
      <name val="Arial"/>
      <family val="2"/>
    </font>
    <font>
      <sz val="11.75"/>
      <name val="Arial"/>
      <family val="0"/>
    </font>
    <font>
      <b/>
      <sz val="8"/>
      <color indexed="8"/>
      <name val="Arial"/>
      <family val="2"/>
    </font>
    <font>
      <b/>
      <sz val="12"/>
      <name val="Arial"/>
      <family val="2"/>
    </font>
    <font>
      <b/>
      <sz val="11"/>
      <name val="Arial"/>
      <family val="2"/>
    </font>
    <font>
      <b/>
      <sz val="11"/>
      <color indexed="8"/>
      <name val="Arial"/>
      <family val="2"/>
    </font>
    <font>
      <sz val="14.25"/>
      <name val="Arial"/>
      <family val="2"/>
    </font>
    <font>
      <b/>
      <vertAlign val="subscript"/>
      <sz val="11"/>
      <name val="Arial"/>
      <family val="2"/>
    </font>
    <font>
      <b/>
      <sz val="18"/>
      <name val="Arial"/>
      <family val="2"/>
    </font>
    <font>
      <b/>
      <sz val="11"/>
      <color indexed="10"/>
      <name val="Arial"/>
      <family val="0"/>
    </font>
    <font>
      <b/>
      <sz val="10.75"/>
      <name val="Arial"/>
      <family val="2"/>
    </font>
    <font>
      <b/>
      <sz val="10.25"/>
      <name val="Arial"/>
      <family val="2"/>
    </font>
    <font>
      <b/>
      <sz val="11.5"/>
      <name val="Arial"/>
      <family val="2"/>
    </font>
    <font>
      <sz val="11"/>
      <color indexed="9"/>
      <name val="Arial"/>
      <family val="0"/>
    </font>
    <font>
      <sz val="8.75"/>
      <name val="Arial"/>
      <family val="2"/>
    </font>
    <font>
      <b/>
      <sz val="9.75"/>
      <name val="Arial"/>
      <family val="2"/>
    </font>
    <font>
      <b/>
      <sz val="9.5"/>
      <name val="Arial"/>
      <family val="2"/>
    </font>
    <font>
      <b/>
      <sz val="10.5"/>
      <name val="Arial"/>
      <family val="2"/>
    </font>
    <font>
      <sz val="8.5"/>
      <name val="Arial"/>
      <family val="2"/>
    </font>
    <font>
      <b/>
      <sz val="11.75"/>
      <name val="Arial"/>
      <family val="2"/>
    </font>
    <font>
      <sz val="9"/>
      <name val="Arial"/>
      <family val="2"/>
    </font>
    <font>
      <b/>
      <sz val="11.25"/>
      <name val="Arial"/>
      <family val="2"/>
    </font>
    <font>
      <sz val="8.25"/>
      <name val="Arial"/>
      <family val="2"/>
    </font>
    <font>
      <sz val="16"/>
      <name val="Arial"/>
      <family val="0"/>
    </font>
    <font>
      <sz val="16"/>
      <color indexed="54"/>
      <name val="Arial"/>
      <family val="0"/>
    </font>
    <font>
      <b/>
      <sz val="16"/>
      <name val="Arial"/>
      <family val="0"/>
    </font>
    <font>
      <b/>
      <sz val="12"/>
      <color indexed="58"/>
      <name val="Times New Roman"/>
      <family val="1"/>
    </font>
    <font>
      <b/>
      <sz val="12"/>
      <name val="Times New Roman"/>
      <family val="1"/>
    </font>
    <font>
      <sz val="12"/>
      <color indexed="58"/>
      <name val="Times New Roman"/>
      <family val="1"/>
    </font>
    <font>
      <sz val="10"/>
      <name val="Times New Roman"/>
      <family val="1"/>
    </font>
    <font>
      <sz val="12"/>
      <name val="Times New Roman"/>
      <family val="1"/>
    </font>
    <font>
      <i/>
      <sz val="12"/>
      <name val="Times New Roman"/>
      <family val="1"/>
    </font>
    <font>
      <sz val="14"/>
      <name val="Times New Roman"/>
      <family val="1"/>
    </font>
    <font>
      <sz val="12"/>
      <name val="Symbol"/>
      <family val="1"/>
    </font>
    <font>
      <sz val="11"/>
      <color indexed="10"/>
      <name val="Arial"/>
      <family val="2"/>
    </font>
    <font>
      <b/>
      <u val="single"/>
      <sz val="11"/>
      <color indexed="12"/>
      <name val="Arial"/>
      <family val="2"/>
    </font>
    <font>
      <b/>
      <sz val="8.25"/>
      <name val="Arial"/>
      <family val="2"/>
    </font>
    <font>
      <sz val="10"/>
      <color indexed="9"/>
      <name val="Arial"/>
      <family val="0"/>
    </font>
    <font>
      <u val="single"/>
      <sz val="11"/>
      <color indexed="12"/>
      <name val="Arial"/>
      <family val="0"/>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166">
    <border>
      <left/>
      <right/>
      <top/>
      <bottom/>
      <diagonal/>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medium"/>
      <right style="thin"/>
      <top>
        <color indexed="63"/>
      </top>
      <bottom>
        <color indexed="63"/>
      </bottom>
    </border>
    <border>
      <left style="medium"/>
      <right style="thin"/>
      <top style="medium"/>
      <bottom style="thin"/>
    </border>
    <border>
      <left style="medium"/>
      <right style="medium"/>
      <top>
        <color indexed="63"/>
      </top>
      <bottom>
        <color indexed="63"/>
      </bottom>
    </border>
    <border>
      <left style="thin"/>
      <right style="medium"/>
      <top style="medium"/>
      <bottom style="thin"/>
    </border>
    <border>
      <left>
        <color indexed="63"/>
      </left>
      <right style="medium"/>
      <top style="medium"/>
      <bottom style="mediu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medium"/>
      <right style="medium"/>
      <top style="medium"/>
      <bottom style="thin"/>
    </border>
    <border>
      <left style="medium"/>
      <right style="medium"/>
      <top>
        <color indexed="63"/>
      </top>
      <bottom style="medium"/>
    </border>
    <border>
      <left style="medium"/>
      <right style="medium"/>
      <top style="medium"/>
      <bottom>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medium"/>
      <right style="medium"/>
      <top style="thin"/>
      <bottom>
        <color indexed="63"/>
      </bottom>
    </border>
    <border>
      <left style="medium"/>
      <right style="medium"/>
      <top style="hair"/>
      <bottom style="medium"/>
    </border>
    <border>
      <left style="medium"/>
      <right style="medium"/>
      <top style="hair"/>
      <bottom style="hair"/>
    </border>
    <border>
      <left style="medium"/>
      <right style="medium"/>
      <top style="thin"/>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medium"/>
      <top style="hair"/>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medium"/>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medium"/>
      <top style="hair"/>
      <bottom>
        <color indexed="63"/>
      </botto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color indexed="9"/>
      </top>
      <bottom style="thin">
        <color indexed="9"/>
      </bottom>
    </border>
    <border>
      <left>
        <color indexed="63"/>
      </left>
      <right style="medium"/>
      <top style="thin">
        <color indexed="9"/>
      </top>
      <bottom style="thin">
        <color indexed="9"/>
      </bottom>
    </border>
    <border>
      <left style="thin">
        <color indexed="9"/>
      </left>
      <right>
        <color indexed="63"/>
      </right>
      <top style="thin">
        <color indexed="9"/>
      </top>
      <bottom style="thin">
        <color indexed="9"/>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ck">
        <color indexed="28"/>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color indexed="63"/>
      </left>
      <right>
        <color indexed="63"/>
      </right>
      <top style="medium"/>
      <bottom>
        <color indexed="63"/>
      </bottom>
    </border>
    <border>
      <left>
        <color indexed="63"/>
      </left>
      <right style="thin">
        <color indexed="63"/>
      </right>
      <top style="medium"/>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ck">
        <color indexed="28"/>
      </left>
      <right>
        <color indexed="63"/>
      </right>
      <top style="thick">
        <color indexed="28"/>
      </top>
      <bottom>
        <color indexed="63"/>
      </bottom>
    </border>
    <border>
      <left>
        <color indexed="63"/>
      </left>
      <right>
        <color indexed="63"/>
      </right>
      <top style="thick">
        <color indexed="28"/>
      </top>
      <bottom>
        <color indexed="63"/>
      </bottom>
    </border>
    <border>
      <left>
        <color indexed="63"/>
      </left>
      <right style="thick">
        <color indexed="28"/>
      </right>
      <top style="thick">
        <color indexed="28"/>
      </top>
      <bottom>
        <color indexed="63"/>
      </bottom>
    </border>
    <border>
      <left style="thick">
        <color indexed="28"/>
      </left>
      <right>
        <color indexed="63"/>
      </right>
      <top>
        <color indexed="63"/>
      </top>
      <bottom>
        <color indexed="63"/>
      </bottom>
    </border>
    <border>
      <left>
        <color indexed="63"/>
      </left>
      <right style="thick">
        <color indexed="28"/>
      </right>
      <top>
        <color indexed="63"/>
      </top>
      <bottom>
        <color indexed="63"/>
      </bottom>
    </border>
    <border>
      <left style="thick">
        <color indexed="28"/>
      </left>
      <right style="thin"/>
      <top style="medium"/>
      <bottom style="medium"/>
    </border>
    <border>
      <left>
        <color indexed="63"/>
      </left>
      <right style="thick">
        <color indexed="28"/>
      </right>
      <top>
        <color indexed="63"/>
      </top>
      <bottom style="thin"/>
    </border>
    <border>
      <left style="thick">
        <color indexed="28"/>
      </left>
      <right>
        <color indexed="63"/>
      </right>
      <top style="medium"/>
      <bottom>
        <color indexed="63"/>
      </bottom>
    </border>
    <border>
      <left>
        <color indexed="63"/>
      </left>
      <right style="thick">
        <color indexed="28"/>
      </right>
      <top style="medium"/>
      <bottom>
        <color indexed="63"/>
      </bottom>
    </border>
    <border>
      <left style="thick">
        <color indexed="28"/>
      </left>
      <right>
        <color indexed="63"/>
      </right>
      <top>
        <color indexed="63"/>
      </top>
      <bottom style="medium"/>
    </border>
    <border>
      <left style="thick">
        <color indexed="28"/>
      </left>
      <right>
        <color indexed="63"/>
      </right>
      <top>
        <color indexed="63"/>
      </top>
      <bottom style="thick">
        <color indexed="28"/>
      </bottom>
    </border>
    <border>
      <left>
        <color indexed="63"/>
      </left>
      <right>
        <color indexed="63"/>
      </right>
      <top>
        <color indexed="63"/>
      </top>
      <bottom style="thick">
        <color indexed="28"/>
      </bottom>
    </border>
    <border>
      <left>
        <color indexed="63"/>
      </left>
      <right style="thick">
        <color indexed="28"/>
      </right>
      <top>
        <color indexed="63"/>
      </top>
      <bottom style="thick">
        <color indexed="28"/>
      </bottom>
    </border>
    <border>
      <left style="thick">
        <color indexed="28"/>
      </left>
      <right style="medium"/>
      <top style="medium"/>
      <bottom style="medium"/>
    </border>
    <border>
      <left>
        <color indexed="63"/>
      </left>
      <right style="thin"/>
      <top style="medium"/>
      <bottom style="medium"/>
    </border>
    <border>
      <left style="thick">
        <color indexed="28"/>
      </left>
      <right style="medium"/>
      <top style="medium"/>
      <bottom>
        <color indexed="63"/>
      </bottom>
    </border>
    <border>
      <left style="thick">
        <color indexed="28"/>
      </left>
      <right style="medium"/>
      <top>
        <color indexed="63"/>
      </top>
      <bottom style="thin"/>
    </border>
    <border>
      <left style="medium"/>
      <right>
        <color indexed="63"/>
      </right>
      <top>
        <color indexed="63"/>
      </top>
      <bottom style="thin"/>
    </border>
    <border>
      <left style="thick">
        <color indexed="28"/>
      </left>
      <right style="medium"/>
      <top>
        <color indexed="63"/>
      </top>
      <bottom>
        <color indexed="63"/>
      </bottom>
    </border>
    <border>
      <left style="thick">
        <color indexed="28"/>
      </left>
      <right style="medium"/>
      <top>
        <color indexed="63"/>
      </top>
      <bottom style="medium"/>
    </border>
    <border>
      <left style="thin"/>
      <right>
        <color indexed="63"/>
      </right>
      <top style="thin"/>
      <bottom style="thin"/>
    </border>
    <border>
      <left>
        <color indexed="63"/>
      </left>
      <right style="medium"/>
      <top>
        <color indexed="63"/>
      </top>
      <bottom style="medium"/>
    </border>
    <border>
      <left style="thick">
        <color indexed="28"/>
      </left>
      <right style="medium"/>
      <top style="medium"/>
      <bottom style="thin"/>
    </border>
    <border>
      <left style="thick">
        <color indexed="28"/>
      </left>
      <right style="thin"/>
      <top style="thin"/>
      <bottom style="thin"/>
    </border>
    <border>
      <left style="thick">
        <color indexed="28"/>
      </left>
      <right style="thin"/>
      <top style="medium"/>
      <bottom style="thin"/>
    </border>
    <border>
      <left style="medium"/>
      <right style="thick">
        <color indexed="28"/>
      </right>
      <top>
        <color indexed="63"/>
      </top>
      <bottom>
        <color indexed="63"/>
      </bottom>
    </border>
    <border>
      <left style="thick">
        <color indexed="28"/>
      </left>
      <right style="thin"/>
      <top>
        <color indexed="63"/>
      </top>
      <bottom>
        <color indexed="63"/>
      </bottom>
    </border>
    <border>
      <left style="thick">
        <color indexed="28"/>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thick">
        <color indexed="28"/>
      </right>
      <top style="medium"/>
      <bottom style="medium"/>
    </border>
    <border>
      <left style="medium"/>
      <right style="thick">
        <color indexed="28"/>
      </right>
      <top style="medium"/>
      <bottom>
        <color indexed="63"/>
      </bottom>
    </border>
    <border>
      <left style="medium"/>
      <right style="thick">
        <color indexed="28"/>
      </right>
      <top>
        <color indexed="63"/>
      </top>
      <bottom style="medium"/>
    </border>
    <border>
      <left style="medium"/>
      <right style="medium">
        <color indexed="9"/>
      </right>
      <top style="medium"/>
      <bottom style="thin">
        <color indexed="9"/>
      </bottom>
    </border>
    <border>
      <left style="medium">
        <color indexed="9"/>
      </left>
      <right style="medium">
        <color indexed="9"/>
      </right>
      <top style="medium"/>
      <bottom style="thin">
        <color indexed="9"/>
      </bottom>
    </border>
    <border>
      <left style="medium">
        <color indexed="9"/>
      </left>
      <right style="medium"/>
      <top style="medium"/>
      <bottom style="thin">
        <color indexed="9"/>
      </bottom>
    </border>
    <border>
      <left style="medium"/>
      <right style="thin">
        <color indexed="9"/>
      </right>
      <top style="medium"/>
      <bottom style="thin">
        <color indexed="9"/>
      </bottom>
    </border>
    <border>
      <left style="thin">
        <color indexed="9"/>
      </left>
      <right style="thin">
        <color indexed="9"/>
      </right>
      <top style="medium"/>
      <bottom>
        <color indexed="63"/>
      </bottom>
    </border>
    <border>
      <left style="thin">
        <color indexed="9"/>
      </left>
      <right style="medium"/>
      <top style="medium"/>
      <bottom style="thin">
        <color indexed="9"/>
      </bottom>
    </border>
    <border>
      <left style="thin">
        <color indexed="9"/>
      </left>
      <right style="thin">
        <color indexed="9"/>
      </right>
      <top style="medium"/>
      <bottom style="thin">
        <color indexed="9"/>
      </bottom>
    </border>
    <border>
      <left style="medium"/>
      <right style="medium">
        <color indexed="9"/>
      </right>
      <top style="thin">
        <color indexed="9"/>
      </top>
      <bottom style="thin">
        <color indexed="9"/>
      </bottom>
    </border>
    <border>
      <left style="medium">
        <color indexed="9"/>
      </left>
      <right style="medium">
        <color indexed="9"/>
      </right>
      <top style="thin">
        <color indexed="9"/>
      </top>
      <bottom style="thin">
        <color indexed="9"/>
      </bottom>
    </border>
    <border>
      <left style="medium">
        <color indexed="9"/>
      </left>
      <right style="medium"/>
      <top style="thin">
        <color indexed="9"/>
      </top>
      <bottom style="thin">
        <color indexed="9"/>
      </bottom>
    </border>
    <border>
      <left style="medium"/>
      <right>
        <color indexed="63"/>
      </right>
      <top style="thin">
        <color indexed="9"/>
      </top>
      <bottom>
        <color indexed="63"/>
      </bottom>
    </border>
    <border>
      <left>
        <color indexed="63"/>
      </left>
      <right style="medium">
        <color indexed="9"/>
      </right>
      <top style="thin">
        <color indexed="9"/>
      </top>
      <bottom>
        <color indexed="63"/>
      </bottom>
    </border>
    <border>
      <left>
        <color indexed="63"/>
      </left>
      <right style="thin">
        <color indexed="9"/>
      </right>
      <top>
        <color indexed="63"/>
      </top>
      <bottom>
        <color indexed="63"/>
      </bottom>
    </border>
    <border>
      <left style="thin">
        <color indexed="9"/>
      </left>
      <right style="medium"/>
      <top style="thin">
        <color indexed="9"/>
      </top>
      <bottom style="thin">
        <color indexed="9"/>
      </bottom>
    </border>
    <border>
      <left>
        <color indexed="63"/>
      </left>
      <right style="thin">
        <color indexed="9"/>
      </right>
      <top style="thin">
        <color indexed="9"/>
      </top>
      <bottom>
        <color indexed="63"/>
      </bottom>
    </border>
    <border>
      <left style="medium"/>
      <right>
        <color indexed="63"/>
      </right>
      <top>
        <color indexed="63"/>
      </top>
      <bottom style="thin">
        <color indexed="9"/>
      </bottom>
    </border>
    <border>
      <left>
        <color indexed="63"/>
      </left>
      <right style="medium">
        <color indexed="9"/>
      </right>
      <top>
        <color indexed="63"/>
      </top>
      <bottom style="thin">
        <color indexed="9"/>
      </bottom>
    </border>
    <border>
      <left style="medium">
        <color indexed="9"/>
      </left>
      <right style="medium"/>
      <top style="thin">
        <color indexed="9"/>
      </top>
      <bottom>
        <color indexed="63"/>
      </bottom>
    </border>
    <border>
      <left>
        <color indexed="63"/>
      </left>
      <right style="thin">
        <color indexed="9"/>
      </right>
      <top>
        <color indexed="63"/>
      </top>
      <bottom style="thin">
        <color indexed="9"/>
      </bottom>
    </border>
    <border>
      <left style="medium"/>
      <right style="thin">
        <color indexed="9"/>
      </right>
      <top style="thin">
        <color indexed="9"/>
      </top>
      <bottom style="thin">
        <color indexed="9"/>
      </bottom>
    </border>
    <border>
      <left>
        <color indexed="63"/>
      </left>
      <right style="thick">
        <color indexed="28"/>
      </right>
      <top style="medium"/>
      <bottom style="medium"/>
    </border>
    <border>
      <left>
        <color indexed="63"/>
      </left>
      <right style="medium"/>
      <top style="medium"/>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ck">
        <color indexed="28"/>
      </right>
      <top style="thin"/>
      <bottom>
        <color indexed="63"/>
      </bottom>
    </border>
    <border>
      <left style="thick">
        <color indexed="28"/>
      </left>
      <right>
        <color indexed="63"/>
      </right>
      <top style="thin"/>
      <bottom>
        <color indexed="63"/>
      </bottom>
    </border>
    <border>
      <left style="thick">
        <color indexed="28"/>
      </left>
      <right style="thin"/>
      <top style="medium"/>
      <bottom>
        <color indexed="63"/>
      </bottom>
    </border>
    <border>
      <left style="thick">
        <color indexed="28"/>
      </left>
      <right style="thin"/>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color indexed="63"/>
      </top>
      <bottom>
        <color indexed="63"/>
      </bottom>
    </border>
    <border>
      <left>
        <color indexed="63"/>
      </left>
      <right style="medium"/>
      <top style="thin"/>
      <bottom>
        <color indexed="63"/>
      </bottom>
    </border>
    <border>
      <left>
        <color indexed="63"/>
      </left>
      <right style="thin"/>
      <top>
        <color indexed="63"/>
      </top>
      <bottom style="medium"/>
    </border>
    <border>
      <left style="thin"/>
      <right style="thick">
        <color indexed="28"/>
      </right>
      <top style="thin"/>
      <bottom style="thin"/>
    </border>
    <border>
      <left style="thin"/>
      <right>
        <color indexed="63"/>
      </right>
      <top style="medium"/>
      <bottom style="thin"/>
    </border>
    <border>
      <left style="thin"/>
      <right style="medium"/>
      <top>
        <color indexed="63"/>
      </top>
      <bottom>
        <color indexed="63"/>
      </bottom>
    </border>
    <border>
      <left style="thick">
        <color indexed="28"/>
      </left>
      <right style="thick">
        <color indexed="28"/>
      </right>
      <top style="thick">
        <color indexed="28"/>
      </top>
      <bottom style="thin">
        <color indexed="9"/>
      </bottom>
    </border>
    <border>
      <left style="thick">
        <color indexed="28"/>
      </left>
      <right style="thick">
        <color indexed="28"/>
      </right>
      <top style="thin">
        <color indexed="9"/>
      </top>
      <bottom style="thin">
        <color indexed="9"/>
      </bottom>
    </border>
    <border>
      <left style="thick">
        <color indexed="28"/>
      </left>
      <right style="thick">
        <color indexed="28"/>
      </right>
      <top>
        <color indexed="63"/>
      </top>
      <bottom style="thin">
        <color indexed="9"/>
      </bottom>
    </border>
    <border>
      <left style="thick">
        <color indexed="28"/>
      </left>
      <right style="thick">
        <color indexed="28"/>
      </right>
      <top style="thin">
        <color indexed="9"/>
      </top>
      <bottom>
        <color indexed="63"/>
      </bottom>
    </border>
    <border>
      <left style="thick">
        <color indexed="28"/>
      </left>
      <right style="thick">
        <color indexed="28"/>
      </right>
      <top>
        <color indexed="63"/>
      </top>
      <bottom style="thick">
        <color indexed="28"/>
      </bottom>
    </border>
    <border>
      <left style="thick">
        <color indexed="28"/>
      </left>
      <right style="thick">
        <color indexed="28"/>
      </right>
      <top>
        <color indexed="63"/>
      </top>
      <bottom>
        <color indexed="63"/>
      </bottom>
    </border>
    <border>
      <left>
        <color indexed="63"/>
      </left>
      <right style="thin">
        <color indexed="63"/>
      </right>
      <top>
        <color indexed="63"/>
      </top>
      <bottom style="medium"/>
    </border>
    <border>
      <left>
        <color indexed="63"/>
      </left>
      <right style="thick">
        <color indexed="28"/>
      </right>
      <top style="thin"/>
      <bottom style="thin"/>
    </border>
    <border>
      <left style="thin">
        <color indexed="63"/>
      </left>
      <right>
        <color indexed="63"/>
      </right>
      <top>
        <color indexed="63"/>
      </top>
      <bottom style="medium"/>
    </border>
    <border>
      <left style="thick">
        <color indexed="28"/>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ck">
        <color indexed="28"/>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ck">
        <color indexed="28"/>
      </right>
      <top style="medium"/>
      <bottom style="thin"/>
    </border>
    <border>
      <left style="medium"/>
      <right style="medium"/>
      <top>
        <color indexed="63"/>
      </top>
      <bottom style="thin"/>
    </border>
    <border>
      <left style="medium"/>
      <right style="medium">
        <color indexed="9"/>
      </right>
      <top style="thin">
        <color indexed="9"/>
      </top>
      <bottom>
        <color indexed="63"/>
      </bottom>
    </border>
    <border>
      <left style="medium">
        <color indexed="9"/>
      </left>
      <right style="medium">
        <color indexed="9"/>
      </right>
      <top style="thin">
        <color indexed="9"/>
      </top>
      <bottom>
        <color indexed="63"/>
      </bottom>
    </border>
    <border>
      <left style="medium"/>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style="medium"/>
      <top style="thin">
        <color indexed="9"/>
      </top>
      <bottom>
        <color indexed="63"/>
      </bottom>
    </border>
  </borders>
  <cellStyleXfs count="31">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2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cellStyleXfs>
  <cellXfs count="806">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3" fontId="3" fillId="0" borderId="1" xfId="0" applyNumberFormat="1" applyFont="1" applyBorder="1" applyAlignment="1">
      <alignment horizontal="center"/>
    </xf>
    <xf numFmtId="0" fontId="3" fillId="2" borderId="2" xfId="0" applyFont="1" applyFill="1" applyBorder="1" applyAlignment="1">
      <alignment/>
    </xf>
    <xf numFmtId="17" fontId="3" fillId="2" borderId="3" xfId="0" applyNumberFormat="1" applyFont="1" applyFill="1" applyBorder="1" applyAlignment="1">
      <alignment horizontal="center"/>
    </xf>
    <xf numFmtId="17" fontId="3" fillId="2" borderId="4" xfId="0" applyNumberFormat="1" applyFont="1" applyFill="1" applyBorder="1" applyAlignment="1">
      <alignment horizontal="center"/>
    </xf>
    <xf numFmtId="17" fontId="3" fillId="2" borderId="5" xfId="0" applyNumberFormat="1" applyFont="1" applyFill="1" applyBorder="1" applyAlignment="1">
      <alignment horizontal="center"/>
    </xf>
    <xf numFmtId="0" fontId="3" fillId="2" borderId="2" xfId="0" applyFont="1" applyFill="1" applyBorder="1" applyAlignment="1">
      <alignment horizontal="center"/>
    </xf>
    <xf numFmtId="0" fontId="3" fillId="2" borderId="6" xfId="0" applyFont="1" applyFill="1" applyBorder="1" applyAlignment="1">
      <alignment wrapText="1"/>
    </xf>
    <xf numFmtId="17" fontId="3" fillId="2" borderId="7" xfId="0" applyNumberFormat="1" applyFont="1" applyFill="1" applyBorder="1" applyAlignment="1">
      <alignment/>
    </xf>
    <xf numFmtId="0" fontId="3" fillId="2" borderId="8" xfId="0" applyFont="1" applyFill="1" applyBorder="1" applyAlignment="1">
      <alignment horizontal="right" wrapText="1"/>
    </xf>
    <xf numFmtId="166" fontId="3" fillId="2" borderId="9" xfId="30" applyNumberFormat="1" applyFont="1" applyFill="1" applyBorder="1" applyAlignment="1">
      <alignment horizontal="center"/>
    </xf>
    <xf numFmtId="0" fontId="3" fillId="0" borderId="0" xfId="0" applyFont="1" applyFill="1" applyBorder="1" applyAlignment="1">
      <alignment horizontal="center" wrapText="1"/>
    </xf>
    <xf numFmtId="0" fontId="3" fillId="2" borderId="10" xfId="26" applyFont="1" applyFill="1" applyBorder="1" applyAlignment="1">
      <alignment horizontal="center" wrapText="1"/>
      <protection/>
    </xf>
    <xf numFmtId="3" fontId="3" fillId="0" borderId="11" xfId="0" applyNumberFormat="1" applyFont="1" applyBorder="1" applyAlignment="1">
      <alignment horizontal="center"/>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7" fillId="0" borderId="0" xfId="0" applyFont="1" applyAlignment="1">
      <alignment/>
    </xf>
    <xf numFmtId="0" fontId="3" fillId="2" borderId="17" xfId="26" applyFont="1" applyFill="1" applyBorder="1" applyAlignment="1">
      <alignment horizontal="center" wrapText="1"/>
      <protection/>
    </xf>
    <xf numFmtId="3" fontId="3" fillId="0" borderId="9" xfId="0" applyNumberFormat="1" applyFont="1" applyBorder="1" applyAlignment="1">
      <alignment horizontal="center"/>
    </xf>
    <xf numFmtId="3" fontId="3" fillId="0" borderId="2" xfId="0" applyNumberFormat="1" applyFont="1" applyBorder="1" applyAlignment="1">
      <alignment horizontal="center"/>
    </xf>
    <xf numFmtId="0" fontId="3" fillId="0" borderId="9" xfId="0" applyNumberFormat="1" applyFont="1" applyFill="1" applyBorder="1" applyAlignment="1">
      <alignment horizontal="center"/>
    </xf>
    <xf numFmtId="2" fontId="3" fillId="0" borderId="18" xfId="0" applyNumberFormat="1" applyFont="1" applyFill="1" applyBorder="1" applyAlignment="1">
      <alignment horizontal="center"/>
    </xf>
    <xf numFmtId="0" fontId="3" fillId="0" borderId="19" xfId="0" applyNumberFormat="1" applyFont="1" applyFill="1" applyBorder="1" applyAlignment="1">
      <alignment horizontal="center"/>
    </xf>
    <xf numFmtId="0" fontId="3" fillId="0" borderId="18" xfId="0" applyNumberFormat="1" applyFont="1" applyFill="1" applyBorder="1" applyAlignment="1">
      <alignment horizontal="center"/>
    </xf>
    <xf numFmtId="0" fontId="3" fillId="2" borderId="19" xfId="0" applyFont="1" applyFill="1" applyBorder="1" applyAlignment="1">
      <alignment horizontal="center" wrapText="1"/>
    </xf>
    <xf numFmtId="0" fontId="0" fillId="0" borderId="0" xfId="0" applyFill="1" applyAlignment="1">
      <alignment/>
    </xf>
    <xf numFmtId="17" fontId="3" fillId="0" borderId="20" xfId="15" applyNumberFormat="1" applyFont="1" applyFill="1" applyBorder="1" applyAlignment="1">
      <alignment horizontal="center"/>
      <protection/>
    </xf>
    <xf numFmtId="17" fontId="3" fillId="0" borderId="20" xfId="0" applyNumberFormat="1" applyFont="1" applyFill="1" applyBorder="1" applyAlignment="1">
      <alignment horizontal="center"/>
    </xf>
    <xf numFmtId="17" fontId="3" fillId="0" borderId="20" xfId="0" applyNumberFormat="1" applyFont="1" applyFill="1" applyBorder="1" applyAlignment="1">
      <alignment/>
    </xf>
    <xf numFmtId="9" fontId="0" fillId="0" borderId="0" xfId="0" applyNumberFormat="1" applyAlignment="1">
      <alignment/>
    </xf>
    <xf numFmtId="3" fontId="0" fillId="0" borderId="0" xfId="0" applyNumberFormat="1" applyFill="1" applyAlignment="1">
      <alignment/>
    </xf>
    <xf numFmtId="0" fontId="0" fillId="0" borderId="0" xfId="0" applyNumberFormat="1" applyAlignment="1">
      <alignment/>
    </xf>
    <xf numFmtId="0" fontId="3" fillId="0" borderId="0" xfId="16" applyFont="1" applyFill="1" applyBorder="1">
      <alignment/>
      <protection/>
    </xf>
    <xf numFmtId="0" fontId="3" fillId="0" borderId="0" xfId="16" applyFont="1" applyFill="1" applyBorder="1" applyAlignment="1">
      <alignment horizontal="center"/>
      <protection/>
    </xf>
    <xf numFmtId="166" fontId="3" fillId="0" borderId="0" xfId="16" applyNumberFormat="1" applyFont="1" applyFill="1" applyBorder="1" applyAlignment="1">
      <alignment horizontal="center"/>
      <protection/>
    </xf>
    <xf numFmtId="0" fontId="3" fillId="0" borderId="0" xfId="16" applyFont="1" applyFill="1" applyBorder="1" applyAlignment="1">
      <alignment horizontal="left"/>
      <protection/>
    </xf>
    <xf numFmtId="2" fontId="0" fillId="0" borderId="0" xfId="16" applyNumberFormat="1" applyFont="1" applyFill="1" applyBorder="1" applyAlignment="1">
      <alignment horizontal="center"/>
      <protection/>
    </xf>
    <xf numFmtId="0" fontId="0" fillId="0" borderId="0" xfId="16" applyFont="1" applyFill="1" applyBorder="1" applyAlignment="1">
      <alignment horizontal="center"/>
      <protection/>
    </xf>
    <xf numFmtId="0" fontId="0" fillId="0" borderId="0" xfId="0" applyFont="1" applyAlignment="1">
      <alignment/>
    </xf>
    <xf numFmtId="2" fontId="0" fillId="0" borderId="0" xfId="16" applyNumberFormat="1" applyFont="1" applyFill="1" applyBorder="1" applyAlignment="1">
      <alignment horizontal="left"/>
      <protection/>
    </xf>
    <xf numFmtId="10" fontId="3" fillId="0" borderId="0"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21" xfId="0" applyNumberFormat="1" applyFont="1" applyFill="1" applyBorder="1" applyAlignment="1">
      <alignment horizontal="center"/>
    </xf>
    <xf numFmtId="3" fontId="3" fillId="0" borderId="4" xfId="0" applyNumberFormat="1" applyFont="1" applyFill="1" applyBorder="1" applyAlignment="1">
      <alignment horizontal="center"/>
    </xf>
    <xf numFmtId="17" fontId="3" fillId="0" borderId="0" xfId="0" applyNumberFormat="1" applyFont="1" applyFill="1" applyBorder="1" applyAlignment="1">
      <alignment/>
    </xf>
    <xf numFmtId="0" fontId="3" fillId="2" borderId="22" xfId="0" applyFont="1" applyFill="1" applyBorder="1" applyAlignment="1">
      <alignment wrapText="1"/>
    </xf>
    <xf numFmtId="0" fontId="3" fillId="2" borderId="6" xfId="0" applyFont="1" applyFill="1" applyBorder="1" applyAlignment="1">
      <alignment/>
    </xf>
    <xf numFmtId="166" fontId="3" fillId="2" borderId="23" xfId="30" applyNumberFormat="1" applyFont="1" applyFill="1" applyBorder="1" applyAlignment="1">
      <alignment horizontal="center"/>
    </xf>
    <xf numFmtId="3" fontId="3" fillId="2" borderId="24" xfId="0" applyNumberFormat="1" applyFont="1" applyFill="1" applyBorder="1" applyAlignment="1">
      <alignment horizontal="center"/>
    </xf>
    <xf numFmtId="0" fontId="3" fillId="2" borderId="25" xfId="0" applyFont="1" applyFill="1" applyBorder="1" applyAlignment="1">
      <alignment/>
    </xf>
    <xf numFmtId="166" fontId="3" fillId="2" borderId="24" xfId="30" applyNumberFormat="1" applyFont="1" applyFill="1" applyBorder="1" applyAlignment="1">
      <alignment horizontal="center"/>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2" borderId="23" xfId="0" applyFont="1" applyFill="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2" borderId="32" xfId="0" applyFont="1" applyFill="1" applyBorder="1" applyAlignment="1">
      <alignment/>
    </xf>
    <xf numFmtId="0" fontId="3" fillId="2" borderId="18" xfId="0" applyFont="1" applyFill="1" applyBorder="1" applyAlignment="1">
      <alignment/>
    </xf>
    <xf numFmtId="166" fontId="3" fillId="0" borderId="27" xfId="0" applyNumberFormat="1" applyFont="1" applyBorder="1" applyAlignment="1">
      <alignment/>
    </xf>
    <xf numFmtId="166" fontId="3" fillId="0" borderId="28" xfId="0" applyNumberFormat="1" applyFont="1" applyBorder="1" applyAlignment="1">
      <alignment/>
    </xf>
    <xf numFmtId="166" fontId="3" fillId="0" borderId="0" xfId="30" applyNumberFormat="1" applyFont="1" applyFill="1" applyBorder="1" applyAlignment="1">
      <alignment horizontal="right"/>
    </xf>
    <xf numFmtId="166" fontId="3" fillId="0" borderId="1" xfId="30" applyNumberFormat="1" applyFont="1" applyFill="1" applyBorder="1" applyAlignment="1">
      <alignment horizontal="right"/>
    </xf>
    <xf numFmtId="166" fontId="3" fillId="0" borderId="29" xfId="30" applyNumberFormat="1" applyFont="1" applyFill="1" applyBorder="1" applyAlignment="1">
      <alignment horizontal="right"/>
    </xf>
    <xf numFmtId="166" fontId="3" fillId="0" borderId="30" xfId="30" applyNumberFormat="1" applyFont="1" applyFill="1" applyBorder="1" applyAlignment="1">
      <alignment horizontal="right"/>
    </xf>
    <xf numFmtId="166" fontId="3" fillId="0" borderId="31" xfId="30" applyNumberFormat="1" applyFont="1" applyFill="1" applyBorder="1" applyAlignment="1">
      <alignment horizontal="right"/>
    </xf>
    <xf numFmtId="166" fontId="3" fillId="0" borderId="33" xfId="30" applyNumberFormat="1" applyFont="1" applyFill="1" applyBorder="1" applyAlignment="1">
      <alignment horizontal="right"/>
    </xf>
    <xf numFmtId="166" fontId="3" fillId="0" borderId="34" xfId="30" applyNumberFormat="1" applyFont="1" applyFill="1" applyBorder="1" applyAlignment="1">
      <alignment horizontal="right"/>
    </xf>
    <xf numFmtId="166" fontId="3" fillId="0" borderId="35" xfId="30" applyNumberFormat="1" applyFont="1" applyFill="1" applyBorder="1" applyAlignment="1">
      <alignment horizontal="right"/>
    </xf>
    <xf numFmtId="166" fontId="3" fillId="2" borderId="36" xfId="30" applyNumberFormat="1" applyFont="1" applyFill="1" applyBorder="1" applyAlignment="1">
      <alignment horizontal="center"/>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3" fontId="3" fillId="2" borderId="40" xfId="0" applyNumberFormat="1" applyFont="1" applyFill="1" applyBorder="1" applyAlignment="1">
      <alignment horizontal="center"/>
    </xf>
    <xf numFmtId="0" fontId="3" fillId="2" borderId="9" xfId="0" applyFont="1" applyFill="1" applyBorder="1" applyAlignment="1">
      <alignment/>
    </xf>
    <xf numFmtId="166" fontId="3" fillId="0" borderId="38" xfId="30" applyNumberFormat="1" applyFont="1" applyFill="1" applyBorder="1" applyAlignment="1">
      <alignment horizontal="right"/>
    </xf>
    <xf numFmtId="166" fontId="3" fillId="0" borderId="39" xfId="30" applyNumberFormat="1" applyFont="1" applyFill="1" applyBorder="1" applyAlignment="1">
      <alignment horizontal="right"/>
    </xf>
    <xf numFmtId="166" fontId="3" fillId="2" borderId="40" xfId="30" applyNumberFormat="1" applyFont="1" applyFill="1" applyBorder="1" applyAlignment="1">
      <alignment horizontal="center"/>
    </xf>
    <xf numFmtId="0" fontId="3" fillId="2" borderId="22" xfId="0" applyFont="1" applyFill="1" applyBorder="1" applyAlignment="1">
      <alignment/>
    </xf>
    <xf numFmtId="166" fontId="0" fillId="0" borderId="0" xfId="0" applyNumberFormat="1" applyAlignment="1">
      <alignment/>
    </xf>
    <xf numFmtId="3" fontId="0" fillId="0" borderId="0" xfId="0" applyNumberFormat="1" applyAlignment="1">
      <alignment/>
    </xf>
    <xf numFmtId="10" fontId="3" fillId="0" borderId="0" xfId="0" applyNumberFormat="1" applyFont="1" applyFill="1" applyBorder="1" applyAlignment="1">
      <alignment wrapText="1"/>
    </xf>
    <xf numFmtId="10" fontId="3" fillId="0" borderId="0" xfId="0" applyNumberFormat="1" applyFont="1" applyFill="1" applyAlignment="1">
      <alignment/>
    </xf>
    <xf numFmtId="4" fontId="0" fillId="0" borderId="0" xfId="0" applyNumberFormat="1" applyFont="1" applyBorder="1" applyAlignment="1">
      <alignment horizontal="center"/>
    </xf>
    <xf numFmtId="4" fontId="0" fillId="0" borderId="0" xfId="0" applyNumberFormat="1" applyFont="1" applyAlignment="1">
      <alignment horizontal="center"/>
    </xf>
    <xf numFmtId="0" fontId="0" fillId="0" borderId="0" xfId="0" applyFont="1" applyFill="1" applyBorder="1" applyAlignment="1">
      <alignment horizontal="left"/>
    </xf>
    <xf numFmtId="4" fontId="0" fillId="0" borderId="0" xfId="0" applyNumberFormat="1" applyFont="1" applyFill="1" applyBorder="1" applyAlignment="1">
      <alignment horizontal="center"/>
    </xf>
    <xf numFmtId="2" fontId="0" fillId="0" borderId="0" xfId="0" applyNumberFormat="1" applyAlignment="1">
      <alignment/>
    </xf>
    <xf numFmtId="3" fontId="3" fillId="0" borderId="41" xfId="0" applyNumberFormat="1" applyFont="1" applyFill="1" applyBorder="1" applyAlignment="1">
      <alignment horizontal="center"/>
    </xf>
    <xf numFmtId="0" fontId="3" fillId="0" borderId="41" xfId="0" applyNumberFormat="1" applyFont="1" applyFill="1" applyBorder="1" applyAlignment="1">
      <alignment horizontal="center"/>
    </xf>
    <xf numFmtId="3" fontId="0" fillId="0" borderId="41" xfId="0" applyNumberFormat="1" applyBorder="1" applyAlignment="1">
      <alignment/>
    </xf>
    <xf numFmtId="3" fontId="0" fillId="0" borderId="42" xfId="0" applyNumberFormat="1" applyBorder="1" applyAlignment="1">
      <alignment/>
    </xf>
    <xf numFmtId="0" fontId="3" fillId="0" borderId="21" xfId="0" applyNumberFormat="1" applyFont="1" applyFill="1" applyBorder="1" applyAlignment="1">
      <alignment horizontal="center"/>
    </xf>
    <xf numFmtId="3" fontId="0" fillId="0" borderId="21" xfId="0" applyNumberFormat="1" applyBorder="1" applyAlignment="1">
      <alignment/>
    </xf>
    <xf numFmtId="3" fontId="0" fillId="0" borderId="43" xfId="0" applyNumberFormat="1" applyBorder="1" applyAlignment="1">
      <alignment/>
    </xf>
    <xf numFmtId="3" fontId="3" fillId="0" borderId="4" xfId="0" applyNumberFormat="1" applyFont="1" applyFill="1" applyBorder="1" applyAlignment="1">
      <alignment/>
    </xf>
    <xf numFmtId="1" fontId="3" fillId="0" borderId="4" xfId="0" applyNumberFormat="1" applyFont="1" applyFill="1" applyBorder="1" applyAlignment="1">
      <alignment horizontal="center"/>
    </xf>
    <xf numFmtId="0" fontId="0" fillId="0" borderId="4" xfId="0" applyBorder="1" applyAlignment="1">
      <alignment/>
    </xf>
    <xf numFmtId="0" fontId="0" fillId="0" borderId="44" xfId="0" applyBorder="1" applyAlignment="1">
      <alignment/>
    </xf>
    <xf numFmtId="17" fontId="3" fillId="2" borderId="45" xfId="0" applyNumberFormat="1" applyFont="1" applyFill="1" applyBorder="1" applyAlignment="1">
      <alignment/>
    </xf>
    <xf numFmtId="3" fontId="3" fillId="0" borderId="46" xfId="0" applyNumberFormat="1" applyFont="1" applyFill="1" applyBorder="1" applyAlignment="1">
      <alignment horizontal="center"/>
    </xf>
    <xf numFmtId="0" fontId="3" fillId="0" borderId="46" xfId="0" applyNumberFormat="1" applyFont="1" applyFill="1" applyBorder="1" applyAlignment="1">
      <alignment horizontal="center"/>
    </xf>
    <xf numFmtId="3" fontId="0" fillId="0" borderId="46" xfId="0" applyNumberFormat="1" applyBorder="1" applyAlignment="1">
      <alignment/>
    </xf>
    <xf numFmtId="3" fontId="0" fillId="0" borderId="47" xfId="0" applyNumberFormat="1" applyBorder="1" applyAlignment="1">
      <alignmen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44" xfId="0" applyFont="1" applyFill="1" applyBorder="1" applyAlignment="1">
      <alignment horizontal="center" vertical="top" wrapText="1"/>
    </xf>
    <xf numFmtId="2" fontId="0" fillId="0" borderId="41" xfId="0" applyNumberFormat="1" applyBorder="1" applyAlignment="1">
      <alignment/>
    </xf>
    <xf numFmtId="2" fontId="0" fillId="0" borderId="48" xfId="0" applyNumberFormat="1" applyBorder="1" applyAlignment="1">
      <alignment/>
    </xf>
    <xf numFmtId="2" fontId="0" fillId="0" borderId="10" xfId="0" applyNumberFormat="1" applyBorder="1" applyAlignment="1">
      <alignment/>
    </xf>
    <xf numFmtId="2" fontId="0" fillId="0" borderId="42" xfId="0" applyNumberFormat="1" applyBorder="1" applyAlignment="1">
      <alignment/>
    </xf>
    <xf numFmtId="2" fontId="0" fillId="0" borderId="49" xfId="0" applyNumberFormat="1" applyBorder="1" applyAlignment="1">
      <alignment/>
    </xf>
    <xf numFmtId="2" fontId="0" fillId="0" borderId="50" xfId="0" applyNumberFormat="1" applyBorder="1" applyAlignment="1">
      <alignment/>
    </xf>
    <xf numFmtId="2" fontId="0" fillId="0" borderId="51" xfId="0" applyNumberFormat="1" applyBorder="1" applyAlignment="1">
      <alignment/>
    </xf>
    <xf numFmtId="2" fontId="0" fillId="0" borderId="52" xfId="0" applyNumberFormat="1" applyBorder="1" applyAlignment="1">
      <alignment/>
    </xf>
    <xf numFmtId="2" fontId="0" fillId="0" borderId="53" xfId="0" applyNumberFormat="1" applyBorder="1" applyAlignment="1">
      <alignment/>
    </xf>
    <xf numFmtId="0" fontId="0" fillId="0" borderId="0" xfId="0" applyAlignment="1">
      <alignment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0" fillId="2" borderId="44" xfId="0" applyFill="1" applyBorder="1" applyAlignment="1">
      <alignment horizontal="center" vertical="top" wrapText="1"/>
    </xf>
    <xf numFmtId="0" fontId="3" fillId="2" borderId="4" xfId="26" applyFont="1" applyFill="1" applyBorder="1" applyAlignment="1">
      <alignment horizontal="center" vertical="top" wrapText="1"/>
      <protection/>
    </xf>
    <xf numFmtId="17" fontId="3" fillId="2" borderId="19" xfId="0" applyNumberFormat="1" applyFont="1" applyFill="1" applyBorder="1" applyAlignment="1">
      <alignment/>
    </xf>
    <xf numFmtId="17" fontId="3" fillId="2" borderId="9" xfId="0" applyNumberFormat="1" applyFont="1" applyFill="1" applyBorder="1" applyAlignment="1">
      <alignment/>
    </xf>
    <xf numFmtId="17" fontId="3" fillId="2" borderId="18" xfId="0" applyNumberFormat="1" applyFont="1" applyFill="1" applyBorder="1" applyAlignment="1">
      <alignment/>
    </xf>
    <xf numFmtId="1" fontId="11" fillId="3" borderId="54" xfId="24" applyNumberFormat="1" applyFont="1" applyFill="1" applyBorder="1" applyAlignment="1" applyProtection="1">
      <alignment horizontal="center"/>
      <protection/>
    </xf>
    <xf numFmtId="1" fontId="11" fillId="3" borderId="15" xfId="24" applyNumberFormat="1" applyFont="1" applyFill="1" applyBorder="1" applyAlignment="1" applyProtection="1">
      <alignment horizontal="center"/>
      <protection/>
    </xf>
    <xf numFmtId="1" fontId="11" fillId="3" borderId="55" xfId="24" applyNumberFormat="1" applyFont="1" applyFill="1" applyBorder="1" applyAlignment="1" applyProtection="1">
      <alignment horizontal="center"/>
      <protection/>
    </xf>
    <xf numFmtId="0" fontId="0" fillId="0" borderId="56" xfId="0" applyBorder="1" applyAlignment="1">
      <alignment wrapText="1"/>
    </xf>
    <xf numFmtId="0" fontId="11" fillId="3" borderId="0" xfId="0" applyFont="1" applyFill="1" applyBorder="1" applyAlignment="1" applyProtection="1">
      <alignment vertical="top" wrapText="1"/>
      <protection locked="0"/>
    </xf>
    <xf numFmtId="0" fontId="16" fillId="3" borderId="0" xfId="0" applyFont="1" applyFill="1" applyAlignment="1" applyProtection="1">
      <alignment/>
      <protection locked="0"/>
    </xf>
    <xf numFmtId="0" fontId="3" fillId="3" borderId="0" xfId="23"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protection locked="0"/>
    </xf>
    <xf numFmtId="0" fontId="21" fillId="3" borderId="0" xfId="0" applyFont="1" applyFill="1" applyBorder="1" applyAlignment="1" applyProtection="1">
      <alignment/>
      <protection locked="0"/>
    </xf>
    <xf numFmtId="0" fontId="22" fillId="3" borderId="0" xfId="0" applyFont="1" applyFill="1" applyBorder="1" applyAlignment="1" applyProtection="1">
      <alignment/>
      <protection locked="0"/>
    </xf>
    <xf numFmtId="0" fontId="17" fillId="3" borderId="0" xfId="0" applyFont="1" applyFill="1" applyAlignment="1" applyProtection="1">
      <alignment/>
      <protection locked="0"/>
    </xf>
    <xf numFmtId="0" fontId="0" fillId="3" borderId="0" xfId="0" applyFill="1" applyAlignment="1" applyProtection="1">
      <alignment/>
      <protection locked="0"/>
    </xf>
    <xf numFmtId="0" fontId="0" fillId="3" borderId="0" xfId="0" applyFont="1" applyFill="1" applyAlignment="1" applyProtection="1">
      <alignment/>
      <protection locked="0"/>
    </xf>
    <xf numFmtId="0" fontId="11" fillId="3" borderId="0" xfId="0" applyFont="1" applyFill="1" applyAlignment="1" applyProtection="1">
      <alignment/>
      <protection locked="0"/>
    </xf>
    <xf numFmtId="0" fontId="3" fillId="3" borderId="57"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protection locked="0"/>
    </xf>
    <xf numFmtId="0" fontId="3" fillId="3" borderId="59" xfId="0" applyFont="1" applyFill="1" applyBorder="1" applyAlignment="1" applyProtection="1">
      <alignment horizontal="left" vertical="center" wrapText="1"/>
      <protection locked="0"/>
    </xf>
    <xf numFmtId="0" fontId="3" fillId="3" borderId="59"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9" fontId="3" fillId="3" borderId="0" xfId="0" applyNumberFormat="1" applyFont="1" applyFill="1" applyBorder="1" applyAlignment="1" applyProtection="1">
      <alignment horizontal="left" vertical="center"/>
      <protection locked="0"/>
    </xf>
    <xf numFmtId="0" fontId="3" fillId="3" borderId="60"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protection locked="0"/>
    </xf>
    <xf numFmtId="0" fontId="0" fillId="3" borderId="0" xfId="0" applyFill="1" applyAlignment="1">
      <alignment/>
    </xf>
    <xf numFmtId="0" fontId="55" fillId="3" borderId="0" xfId="0" applyFont="1" applyFill="1" applyAlignment="1">
      <alignment/>
    </xf>
    <xf numFmtId="0" fontId="56" fillId="3" borderId="0" xfId="0" applyFont="1" applyFill="1" applyAlignment="1">
      <alignment/>
    </xf>
    <xf numFmtId="0" fontId="57" fillId="3" borderId="0" xfId="0" applyFont="1" applyFill="1" applyAlignment="1">
      <alignment horizontal="center"/>
    </xf>
    <xf numFmtId="0" fontId="57" fillId="3" borderId="0" xfId="0" applyFont="1" applyFill="1" applyAlignment="1">
      <alignment horizontal="left"/>
    </xf>
    <xf numFmtId="0" fontId="16" fillId="3" borderId="0" xfId="0" applyFont="1" applyFill="1" applyAlignment="1">
      <alignment/>
    </xf>
    <xf numFmtId="0" fontId="0" fillId="3" borderId="0" xfId="0" applyFill="1" applyBorder="1" applyAlignment="1">
      <alignment/>
    </xf>
    <xf numFmtId="0" fontId="36" fillId="3" borderId="0" xfId="0" applyFont="1" applyFill="1" applyAlignment="1">
      <alignment/>
    </xf>
    <xf numFmtId="0" fontId="11" fillId="3" borderId="0" xfId="0" applyFont="1" applyFill="1" applyAlignment="1">
      <alignment horizontal="left" vertical="center" wrapText="1"/>
    </xf>
    <xf numFmtId="0" fontId="0" fillId="3" borderId="0" xfId="0" applyFont="1" applyFill="1" applyBorder="1" applyAlignment="1">
      <alignment vertical="center" wrapText="1"/>
    </xf>
    <xf numFmtId="0" fontId="0" fillId="3" borderId="0" xfId="0" applyFont="1" applyFill="1" applyBorder="1" applyAlignment="1">
      <alignment wrapText="1"/>
    </xf>
    <xf numFmtId="0" fontId="0" fillId="3" borderId="0" xfId="0" applyFont="1" applyFill="1" applyBorder="1" applyAlignment="1">
      <alignment horizontal="left" vertical="center" wrapText="1"/>
    </xf>
    <xf numFmtId="0" fontId="0" fillId="3" borderId="0" xfId="0" applyFill="1" applyAlignment="1">
      <alignment horizontal="left" vertical="center" wrapText="1"/>
    </xf>
    <xf numFmtId="0" fontId="0" fillId="3" borderId="0" xfId="0" applyFill="1" applyBorder="1" applyAlignment="1">
      <alignment horizontal="left" vertical="center" wrapText="1"/>
    </xf>
    <xf numFmtId="0" fontId="11" fillId="3" borderId="62" xfId="0" applyFont="1" applyFill="1" applyBorder="1" applyAlignment="1" applyProtection="1">
      <alignment horizontal="center" vertical="center" wrapText="1"/>
      <protection locked="0"/>
    </xf>
    <xf numFmtId="0" fontId="0" fillId="3" borderId="0" xfId="0" applyFont="1" applyFill="1" applyBorder="1" applyAlignment="1">
      <alignment/>
    </xf>
    <xf numFmtId="17" fontId="0" fillId="0" borderId="0" xfId="0" applyNumberFormat="1" applyAlignment="1">
      <alignment/>
    </xf>
    <xf numFmtId="4" fontId="0" fillId="0" borderId="0" xfId="0" applyNumberFormat="1" applyAlignment="1">
      <alignment/>
    </xf>
    <xf numFmtId="0" fontId="11" fillId="3" borderId="0" xfId="0" applyFont="1" applyFill="1" applyBorder="1" applyAlignment="1" applyProtection="1">
      <alignment horizontal="justify" vertical="center" wrapText="1"/>
      <protection locked="0"/>
    </xf>
    <xf numFmtId="0" fontId="11" fillId="3" borderId="0" xfId="0" applyFont="1" applyFill="1" applyBorder="1" applyAlignment="1" applyProtection="1">
      <alignment horizontal="justify" vertical="center"/>
      <protection locked="0"/>
    </xf>
    <xf numFmtId="0" fontId="11" fillId="3" borderId="0" xfId="0" applyFont="1" applyFill="1" applyBorder="1" applyAlignment="1" applyProtection="1">
      <alignment vertical="top" wrapText="1"/>
      <protection locked="0"/>
    </xf>
    <xf numFmtId="0" fontId="11" fillId="3" borderId="63"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protection locked="0"/>
    </xf>
    <xf numFmtId="3" fontId="11" fillId="3" borderId="64" xfId="0" applyNumberFormat="1" applyFont="1" applyFill="1" applyBorder="1" applyAlignment="1" applyProtection="1">
      <alignment horizontal="center" vertical="center"/>
      <protection/>
    </xf>
    <xf numFmtId="3" fontId="11" fillId="3" borderId="61" xfId="0" applyNumberFormat="1" applyFont="1" applyFill="1" applyBorder="1" applyAlignment="1" applyProtection="1">
      <alignment horizontal="center" vertical="center"/>
      <protection/>
    </xf>
    <xf numFmtId="3" fontId="11" fillId="3" borderId="0" xfId="17"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66" fillId="3" borderId="0" xfId="0" applyNumberFormat="1" applyFont="1" applyFill="1" applyBorder="1" applyAlignment="1" applyProtection="1">
      <alignment horizontal="center" vertical="center"/>
      <protection locked="0"/>
    </xf>
    <xf numFmtId="213" fontId="11" fillId="3" borderId="0" xfId="0" applyNumberFormat="1" applyFont="1" applyFill="1" applyBorder="1" applyAlignment="1" applyProtection="1">
      <alignment horizontal="center"/>
      <protection locked="0"/>
    </xf>
    <xf numFmtId="0" fontId="11" fillId="3" borderId="63" xfId="0" applyFont="1" applyFill="1" applyBorder="1" applyAlignment="1" applyProtection="1">
      <alignment horizontal="center" vertical="center"/>
      <protection locked="0"/>
    </xf>
    <xf numFmtId="0" fontId="11" fillId="3" borderId="63" xfId="0" applyFont="1" applyFill="1" applyBorder="1" applyAlignment="1" applyProtection="1">
      <alignment horizontal="center" vertical="center"/>
      <protection locked="0"/>
    </xf>
    <xf numFmtId="3" fontId="11" fillId="3" borderId="63" xfId="0" applyNumberFormat="1" applyFont="1" applyFill="1" applyBorder="1" applyAlignment="1" applyProtection="1">
      <alignment horizontal="center"/>
      <protection locked="0"/>
    </xf>
    <xf numFmtId="44" fontId="36" fillId="3" borderId="65" xfId="0" applyNumberFormat="1" applyFont="1" applyFill="1" applyBorder="1" applyAlignment="1" applyProtection="1">
      <alignment horizontal="center" vertical="center" wrapText="1"/>
      <protection locked="0"/>
    </xf>
    <xf numFmtId="44" fontId="36" fillId="3" borderId="66" xfId="0" applyNumberFormat="1" applyFont="1" applyFill="1" applyBorder="1" applyAlignment="1" applyProtection="1">
      <alignment horizontal="left" vertical="center" wrapText="1"/>
      <protection locked="0"/>
    </xf>
    <xf numFmtId="44" fontId="36" fillId="3" borderId="64" xfId="0" applyNumberFormat="1" applyFont="1" applyFill="1" applyBorder="1" applyAlignment="1" applyProtection="1">
      <alignment horizontal="center" vertical="center" wrapText="1"/>
      <protection locked="0"/>
    </xf>
    <xf numFmtId="0" fontId="11" fillId="3" borderId="67" xfId="0" applyFont="1" applyFill="1" applyBorder="1" applyAlignment="1" applyProtection="1">
      <alignment/>
      <protection locked="0"/>
    </xf>
    <xf numFmtId="0" fontId="11" fillId="3" borderId="68" xfId="0" applyFont="1" applyFill="1" applyBorder="1" applyAlignment="1" applyProtection="1">
      <alignment/>
      <protection locked="0"/>
    </xf>
    <xf numFmtId="0" fontId="11" fillId="3" borderId="0" xfId="0" applyFont="1" applyFill="1" applyBorder="1" applyAlignment="1" applyProtection="1">
      <alignment/>
      <protection locked="0"/>
    </xf>
    <xf numFmtId="0" fontId="3" fillId="3" borderId="0" xfId="0" applyFont="1" applyFill="1" applyAlignment="1" applyProtection="1">
      <alignment/>
      <protection locked="0"/>
    </xf>
    <xf numFmtId="0" fontId="20" fillId="3" borderId="0" xfId="0" applyFont="1" applyFill="1" applyBorder="1" applyAlignment="1" applyProtection="1">
      <alignment/>
      <protection locked="0"/>
    </xf>
    <xf numFmtId="0" fontId="19" fillId="3" borderId="0" xfId="0" applyFont="1" applyFill="1" applyBorder="1" applyAlignment="1" applyProtection="1">
      <alignment horizontal="center"/>
      <protection locked="0"/>
    </xf>
    <xf numFmtId="0" fontId="17" fillId="3" borderId="0" xfId="0" applyFont="1" applyFill="1" applyBorder="1" applyAlignment="1" applyProtection="1">
      <alignment horizontal="center"/>
      <protection locked="0"/>
    </xf>
    <xf numFmtId="0" fontId="17" fillId="3" borderId="0" xfId="0" applyFont="1" applyFill="1" applyBorder="1" applyAlignment="1" applyProtection="1">
      <alignment/>
      <protection locked="0"/>
    </xf>
    <xf numFmtId="0" fontId="18" fillId="3" borderId="0" xfId="0" applyFont="1" applyFill="1" applyBorder="1" applyAlignment="1" applyProtection="1">
      <alignment/>
      <protection locked="0"/>
    </xf>
    <xf numFmtId="0" fontId="0" fillId="3" borderId="0" xfId="0" applyFill="1" applyBorder="1" applyAlignment="1" applyProtection="1">
      <alignment/>
      <protection locked="0"/>
    </xf>
    <xf numFmtId="0" fontId="36" fillId="3" borderId="0" xfId="0" applyFont="1" applyFill="1" applyBorder="1" applyAlignment="1" applyProtection="1">
      <alignment horizontal="left"/>
      <protection locked="0"/>
    </xf>
    <xf numFmtId="0" fontId="11" fillId="3" borderId="0" xfId="0" applyFont="1" applyFill="1" applyBorder="1" applyAlignment="1" applyProtection="1">
      <alignment horizontal="center"/>
      <protection locked="0"/>
    </xf>
    <xf numFmtId="0" fontId="16" fillId="3" borderId="0" xfId="0" applyFont="1" applyFill="1" applyBorder="1" applyAlignment="1" applyProtection="1">
      <alignment/>
      <protection locked="0"/>
    </xf>
    <xf numFmtId="0" fontId="11" fillId="3" borderId="0" xfId="25" applyFont="1" applyFill="1" applyBorder="1" applyAlignment="1" applyProtection="1">
      <alignment horizontal="center"/>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60" xfId="0" applyFont="1" applyFill="1" applyBorder="1" applyAlignment="1" applyProtection="1">
      <alignment/>
      <protection locked="0"/>
    </xf>
    <xf numFmtId="0" fontId="3" fillId="3" borderId="61" xfId="0" applyFont="1" applyFill="1" applyBorder="1" applyAlignment="1" applyProtection="1">
      <alignment/>
      <protection locked="0"/>
    </xf>
    <xf numFmtId="0" fontId="40" fillId="3" borderId="69" xfId="0" applyFont="1" applyFill="1" applyBorder="1" applyAlignment="1" applyProtection="1">
      <alignment horizontal="left"/>
      <protection locked="0"/>
    </xf>
    <xf numFmtId="0" fontId="20" fillId="3" borderId="70" xfId="0" applyFont="1" applyFill="1" applyBorder="1" applyAlignment="1" applyProtection="1">
      <alignment/>
      <protection locked="0"/>
    </xf>
    <xf numFmtId="0" fontId="21" fillId="3" borderId="70" xfId="0" applyFont="1" applyFill="1" applyBorder="1" applyAlignment="1" applyProtection="1">
      <alignment/>
      <protection locked="0"/>
    </xf>
    <xf numFmtId="0" fontId="22" fillId="3" borderId="70" xfId="0" applyFont="1" applyFill="1" applyBorder="1" applyAlignment="1" applyProtection="1">
      <alignment/>
      <protection locked="0"/>
    </xf>
    <xf numFmtId="0" fontId="19" fillId="3" borderId="70" xfId="0" applyFont="1" applyFill="1" applyBorder="1" applyAlignment="1" applyProtection="1">
      <alignment horizontal="center"/>
      <protection locked="0"/>
    </xf>
    <xf numFmtId="0" fontId="17" fillId="3" borderId="70" xfId="0" applyFont="1" applyFill="1" applyBorder="1" applyAlignment="1" applyProtection="1">
      <alignment horizontal="center"/>
      <protection locked="0"/>
    </xf>
    <xf numFmtId="0" fontId="17" fillId="3" borderId="70" xfId="0" applyFont="1" applyFill="1" applyBorder="1" applyAlignment="1" applyProtection="1">
      <alignment/>
      <protection locked="0"/>
    </xf>
    <xf numFmtId="0" fontId="18" fillId="3" borderId="70" xfId="0" applyFont="1" applyFill="1" applyBorder="1" applyAlignment="1" applyProtection="1">
      <alignment/>
      <protection locked="0"/>
    </xf>
    <xf numFmtId="0" fontId="0" fillId="3" borderId="70" xfId="0" applyFill="1" applyBorder="1" applyAlignment="1" applyProtection="1">
      <alignment/>
      <protection locked="0"/>
    </xf>
    <xf numFmtId="0" fontId="0" fillId="3" borderId="71" xfId="0" applyFont="1" applyFill="1" applyBorder="1" applyAlignment="1" applyProtection="1">
      <alignment/>
      <protection locked="0"/>
    </xf>
    <xf numFmtId="0" fontId="40" fillId="3" borderId="72" xfId="0" applyFont="1" applyFill="1" applyBorder="1" applyAlignment="1" applyProtection="1">
      <alignment horizontal="left"/>
      <protection locked="0"/>
    </xf>
    <xf numFmtId="0" fontId="0" fillId="3" borderId="73" xfId="0" applyFont="1" applyFill="1" applyBorder="1" applyAlignment="1" applyProtection="1">
      <alignment/>
      <protection locked="0"/>
    </xf>
    <xf numFmtId="0" fontId="35" fillId="3" borderId="72" xfId="0" applyFont="1" applyFill="1" applyBorder="1" applyAlignment="1" applyProtection="1">
      <alignment/>
      <protection locked="0"/>
    </xf>
    <xf numFmtId="0" fontId="11" fillId="3" borderId="73" xfId="0" applyFont="1" applyFill="1" applyBorder="1" applyAlignment="1" applyProtection="1">
      <alignment/>
      <protection locked="0"/>
    </xf>
    <xf numFmtId="0" fontId="36" fillId="3" borderId="74" xfId="0" applyFont="1" applyFill="1" applyBorder="1" applyAlignment="1" applyProtection="1">
      <alignment horizontal="center" vertical="center" wrapText="1"/>
      <protection locked="0"/>
    </xf>
    <xf numFmtId="0" fontId="36" fillId="3" borderId="72"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justify" vertical="center"/>
      <protection locked="0"/>
    </xf>
    <xf numFmtId="0" fontId="3" fillId="3" borderId="72" xfId="0" applyFont="1" applyFill="1" applyBorder="1" applyAlignment="1" applyProtection="1">
      <alignment horizontal="center" wrapText="1"/>
      <protection locked="0"/>
    </xf>
    <xf numFmtId="0" fontId="3" fillId="3" borderId="73" xfId="0" applyFont="1" applyFill="1" applyBorder="1" applyAlignment="1" applyProtection="1">
      <alignment horizontal="left" vertical="center"/>
      <protection locked="0"/>
    </xf>
    <xf numFmtId="0" fontId="3" fillId="3" borderId="75" xfId="0" applyFont="1" applyFill="1" applyBorder="1" applyAlignment="1" applyProtection="1">
      <alignment horizontal="left" vertical="center"/>
      <protection locked="0"/>
    </xf>
    <xf numFmtId="0" fontId="35" fillId="3" borderId="72" xfId="0" applyFont="1" applyFill="1" applyBorder="1" applyAlignment="1" applyProtection="1">
      <alignment horizontal="left"/>
      <protection locked="0"/>
    </xf>
    <xf numFmtId="0" fontId="11" fillId="3" borderId="72"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6" fillId="3" borderId="73" xfId="0" applyFont="1" applyFill="1" applyBorder="1" applyAlignment="1" applyProtection="1">
      <alignment/>
      <protection locked="0"/>
    </xf>
    <xf numFmtId="44" fontId="36" fillId="3" borderId="76" xfId="0" applyNumberFormat="1" applyFont="1" applyFill="1" applyBorder="1" applyAlignment="1" applyProtection="1">
      <alignment horizontal="center" vertical="center" wrapText="1"/>
      <protection locked="0"/>
    </xf>
    <xf numFmtId="44" fontId="36" fillId="3" borderId="77" xfId="0" applyNumberFormat="1" applyFont="1" applyFill="1" applyBorder="1" applyAlignment="1" applyProtection="1">
      <alignment horizontal="left" vertical="center" wrapText="1"/>
      <protection locked="0"/>
    </xf>
    <xf numFmtId="0" fontId="11" fillId="3" borderId="72" xfId="0" applyFont="1" applyFill="1" applyBorder="1" applyAlignment="1" applyProtection="1">
      <alignment/>
      <protection locked="0"/>
    </xf>
    <xf numFmtId="0" fontId="11" fillId="3" borderId="78" xfId="0" applyFont="1" applyFill="1" applyBorder="1" applyAlignment="1" applyProtection="1">
      <alignment horizontal="center" vertical="center" wrapText="1"/>
      <protection locked="0"/>
    </xf>
    <xf numFmtId="0" fontId="11" fillId="3" borderId="72" xfId="0" applyFont="1" applyFill="1" applyBorder="1" applyAlignment="1" applyProtection="1">
      <alignment/>
      <protection/>
    </xf>
    <xf numFmtId="0" fontId="11" fillId="3" borderId="73" xfId="0" applyFont="1" applyFill="1" applyBorder="1" applyAlignment="1" applyProtection="1">
      <alignment/>
      <protection locked="0"/>
    </xf>
    <xf numFmtId="0" fontId="3" fillId="3" borderId="72" xfId="0" applyFont="1" applyFill="1" applyBorder="1" applyAlignment="1" applyProtection="1">
      <alignment/>
      <protection locked="0"/>
    </xf>
    <xf numFmtId="0" fontId="3" fillId="3" borderId="73" xfId="0" applyFont="1" applyFill="1" applyBorder="1" applyAlignment="1" applyProtection="1">
      <alignment/>
      <protection locked="0"/>
    </xf>
    <xf numFmtId="0" fontId="3" fillId="3" borderId="79" xfId="0" applyFont="1" applyFill="1" applyBorder="1" applyAlignment="1" applyProtection="1">
      <alignment/>
      <protection locked="0"/>
    </xf>
    <xf numFmtId="0" fontId="3" fillId="3" borderId="80" xfId="0" applyFont="1" applyFill="1" applyBorder="1" applyAlignment="1" applyProtection="1">
      <alignment/>
      <protection locked="0"/>
    </xf>
    <xf numFmtId="0" fontId="3" fillId="3" borderId="81" xfId="0" applyFont="1" applyFill="1" applyBorder="1" applyAlignment="1" applyProtection="1">
      <alignment/>
      <protection locked="0"/>
    </xf>
    <xf numFmtId="44" fontId="16" fillId="3" borderId="0" xfId="0" applyNumberFormat="1" applyFont="1" applyFill="1" applyAlignment="1" applyProtection="1">
      <alignment horizontal="center" vertical="center" wrapText="1"/>
      <protection locked="0"/>
    </xf>
    <xf numFmtId="44" fontId="16" fillId="3" borderId="72" xfId="0" applyNumberFormat="1" applyFont="1" applyFill="1" applyBorder="1" applyAlignment="1" applyProtection="1">
      <alignment horizontal="center" vertical="center" wrapText="1"/>
      <protection locked="0"/>
    </xf>
    <xf numFmtId="44" fontId="16" fillId="3" borderId="0" xfId="0" applyNumberFormat="1" applyFont="1" applyFill="1" applyBorder="1" applyAlignment="1" applyProtection="1">
      <alignment horizontal="center" vertical="center" wrapText="1"/>
      <protection locked="0"/>
    </xf>
    <xf numFmtId="44" fontId="16" fillId="3" borderId="73" xfId="0" applyNumberFormat="1" applyFont="1" applyFill="1" applyBorder="1" applyAlignment="1" applyProtection="1">
      <alignment horizontal="center" vertical="center" wrapText="1"/>
      <protection locked="0"/>
    </xf>
    <xf numFmtId="0" fontId="16" fillId="3" borderId="72" xfId="0" applyFont="1" applyFill="1" applyBorder="1" applyAlignment="1" applyProtection="1">
      <alignment/>
      <protection locked="0"/>
    </xf>
    <xf numFmtId="0" fontId="11" fillId="3" borderId="82" xfId="0" applyFont="1" applyFill="1" applyBorder="1" applyAlignment="1" applyProtection="1">
      <alignment/>
      <protection locked="0"/>
    </xf>
    <xf numFmtId="17" fontId="11" fillId="3" borderId="83" xfId="0" applyNumberFormat="1" applyFont="1" applyFill="1" applyBorder="1" applyAlignment="1" applyProtection="1">
      <alignment horizontal="center"/>
      <protection locked="0"/>
    </xf>
    <xf numFmtId="0" fontId="11" fillId="3" borderId="84" xfId="0" applyFont="1" applyFill="1" applyBorder="1" applyAlignment="1" applyProtection="1">
      <alignment horizontal="left" vertical="center" wrapText="1"/>
      <protection/>
    </xf>
    <xf numFmtId="0" fontId="11" fillId="3" borderId="85" xfId="0" applyFont="1" applyFill="1" applyBorder="1" applyAlignment="1" applyProtection="1">
      <alignment horizontal="left" vertical="center" wrapText="1"/>
      <protection/>
    </xf>
    <xf numFmtId="3" fontId="11" fillId="3" borderId="86" xfId="0" applyNumberFormat="1" applyFont="1" applyFill="1" applyBorder="1" applyAlignment="1" applyProtection="1">
      <alignment horizontal="center" vertical="center"/>
      <protection locked="0"/>
    </xf>
    <xf numFmtId="0" fontId="11" fillId="3" borderId="75" xfId="0" applyFont="1" applyFill="1" applyBorder="1" applyAlignment="1" applyProtection="1">
      <alignment/>
      <protection locked="0"/>
    </xf>
    <xf numFmtId="0" fontId="11" fillId="3" borderId="87" xfId="0" applyFont="1" applyFill="1" applyBorder="1" applyAlignment="1" applyProtection="1">
      <alignment horizontal="left" vertical="center" wrapText="1"/>
      <protection/>
    </xf>
    <xf numFmtId="0" fontId="11" fillId="3" borderId="87" xfId="0" applyFont="1" applyFill="1" applyBorder="1" applyAlignment="1" applyProtection="1">
      <alignment/>
      <protection/>
    </xf>
    <xf numFmtId="0" fontId="11" fillId="3" borderId="88" xfId="0" applyFont="1" applyFill="1" applyBorder="1" applyAlignment="1" applyProtection="1">
      <alignment/>
      <protection/>
    </xf>
    <xf numFmtId="0" fontId="59" fillId="3" borderId="0" xfId="0" applyFont="1" applyFill="1" applyAlignment="1" applyProtection="1">
      <alignment/>
      <protection locked="0"/>
    </xf>
    <xf numFmtId="0" fontId="62" fillId="3" borderId="0" xfId="0" applyFont="1" applyFill="1" applyAlignment="1" applyProtection="1">
      <alignment/>
      <protection locked="0"/>
    </xf>
    <xf numFmtId="0" fontId="61" fillId="3" borderId="0" xfId="0" applyFont="1" applyFill="1" applyAlignment="1" applyProtection="1">
      <alignment/>
      <protection locked="0"/>
    </xf>
    <xf numFmtId="0" fontId="65" fillId="3" borderId="0" xfId="0" applyFont="1" applyFill="1" applyAlignment="1" applyProtection="1">
      <alignment/>
      <protection locked="0"/>
    </xf>
    <xf numFmtId="0" fontId="3" fillId="3" borderId="0" xfId="0" applyFont="1" applyFill="1" applyAlignment="1" applyProtection="1">
      <alignment horizontal="left" vertical="center"/>
      <protection locked="0"/>
    </xf>
    <xf numFmtId="10" fontId="11" fillId="3" borderId="41" xfId="0" applyNumberFormat="1" applyFont="1" applyFill="1" applyBorder="1" applyAlignment="1" applyProtection="1">
      <alignment/>
      <protection locked="0"/>
    </xf>
    <xf numFmtId="10" fontId="3" fillId="3" borderId="0" xfId="0" applyNumberFormat="1" applyFont="1" applyFill="1" applyBorder="1" applyAlignment="1" applyProtection="1">
      <alignment/>
      <protection locked="0"/>
    </xf>
    <xf numFmtId="0" fontId="36" fillId="3" borderId="89" xfId="0" applyFont="1" applyFill="1" applyBorder="1" applyAlignment="1" applyProtection="1">
      <alignment horizontal="center"/>
      <protection locked="0"/>
    </xf>
    <xf numFmtId="0" fontId="0" fillId="3" borderId="59" xfId="0" applyFill="1" applyBorder="1" applyAlignment="1" applyProtection="1">
      <alignment/>
      <protection locked="0"/>
    </xf>
    <xf numFmtId="0" fontId="0" fillId="3" borderId="0" xfId="0" applyFill="1" applyBorder="1" applyAlignment="1" applyProtection="1">
      <alignment/>
      <protection locked="0"/>
    </xf>
    <xf numFmtId="0" fontId="0" fillId="3" borderId="58" xfId="0" applyFill="1" applyBorder="1" applyAlignment="1" applyProtection="1">
      <alignment/>
      <protection locked="0"/>
    </xf>
    <xf numFmtId="0" fontId="32" fillId="3" borderId="0" xfId="0" applyFont="1" applyFill="1" applyBorder="1" applyAlignment="1" applyProtection="1">
      <alignment/>
      <protection locked="0"/>
    </xf>
    <xf numFmtId="0" fontId="11" fillId="3" borderId="51" xfId="0" applyFont="1" applyFill="1" applyBorder="1" applyAlignment="1" applyProtection="1">
      <alignment horizontal="center" wrapText="1"/>
      <protection locked="0"/>
    </xf>
    <xf numFmtId="0" fontId="11" fillId="3" borderId="48" xfId="0" applyFont="1" applyFill="1" applyBorder="1" applyAlignment="1" applyProtection="1">
      <alignment horizontal="center" wrapText="1"/>
      <protection locked="0"/>
    </xf>
    <xf numFmtId="10" fontId="3" fillId="3" borderId="0" xfId="0" applyNumberFormat="1" applyFont="1" applyFill="1" applyBorder="1" applyAlignment="1" applyProtection="1">
      <alignment wrapText="1"/>
      <protection locked="0"/>
    </xf>
    <xf numFmtId="0" fontId="3" fillId="3" borderId="0" xfId="0" applyFont="1" applyFill="1" applyBorder="1" applyAlignment="1" applyProtection="1">
      <alignment wrapText="1"/>
      <protection locked="0"/>
    </xf>
    <xf numFmtId="2" fontId="11" fillId="3" borderId="0"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horizontal="center"/>
      <protection/>
    </xf>
    <xf numFmtId="1" fontId="11" fillId="3" borderId="0" xfId="0" applyNumberFormat="1" applyFont="1" applyFill="1" applyBorder="1" applyAlignment="1" applyProtection="1">
      <alignment horizontal="center"/>
      <protection/>
    </xf>
    <xf numFmtId="10" fontId="11" fillId="3" borderId="0" xfId="0" applyNumberFormat="1" applyFont="1" applyFill="1" applyBorder="1" applyAlignment="1" applyProtection="1">
      <alignment horizontal="center"/>
      <protection/>
    </xf>
    <xf numFmtId="10" fontId="11" fillId="3" borderId="0" xfId="30" applyNumberFormat="1" applyFont="1" applyFill="1" applyBorder="1" applyAlignment="1" applyProtection="1">
      <alignment horizontal="center"/>
      <protection locked="0"/>
    </xf>
    <xf numFmtId="10" fontId="3" fillId="3" borderId="0" xfId="0" applyNumberFormat="1" applyFont="1" applyFill="1" applyAlignment="1" applyProtection="1">
      <alignment/>
      <protection locked="0"/>
    </xf>
    <xf numFmtId="2" fontId="3" fillId="3" borderId="0" xfId="0" applyNumberFormat="1" applyFont="1" applyFill="1" applyBorder="1" applyAlignment="1" applyProtection="1">
      <alignment/>
      <protection locked="0"/>
    </xf>
    <xf numFmtId="2" fontId="11" fillId="3" borderId="0" xfId="30" applyNumberFormat="1" applyFont="1" applyFill="1" applyBorder="1" applyAlignment="1" applyProtection="1">
      <alignment horizontal="center"/>
      <protection locked="0"/>
    </xf>
    <xf numFmtId="10"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locked="0"/>
    </xf>
    <xf numFmtId="10" fontId="11" fillId="3" borderId="63" xfId="0" applyNumberFormat="1" applyFont="1" applyFill="1" applyBorder="1" applyAlignment="1" applyProtection="1">
      <alignment horizontal="center"/>
      <protection locked="0"/>
    </xf>
    <xf numFmtId="10" fontId="11" fillId="3" borderId="90" xfId="0" applyNumberFormat="1" applyFont="1" applyFill="1" applyBorder="1" applyAlignment="1" applyProtection="1">
      <alignment horizontal="center"/>
      <protection/>
    </xf>
    <xf numFmtId="0" fontId="3" fillId="3" borderId="0" xfId="0" applyFont="1" applyFill="1" applyBorder="1" applyAlignment="1" applyProtection="1">
      <alignment horizontal="center"/>
      <protection locked="0"/>
    </xf>
    <xf numFmtId="2" fontId="3" fillId="3" borderId="0" xfId="0" applyNumberFormat="1" applyFont="1" applyFill="1" applyBorder="1" applyAlignment="1" applyProtection="1">
      <alignment horizontal="center"/>
      <protection locked="0"/>
    </xf>
    <xf numFmtId="0" fontId="3" fillId="3" borderId="0" xfId="0" applyFont="1" applyFill="1" applyAlignment="1" applyProtection="1">
      <alignment/>
      <protection locked="0"/>
    </xf>
    <xf numFmtId="0" fontId="40" fillId="3" borderId="69" xfId="0" applyFont="1" applyFill="1" applyBorder="1" applyAlignment="1" applyProtection="1">
      <alignment/>
      <protection locked="0"/>
    </xf>
    <xf numFmtId="0" fontId="3" fillId="3" borderId="70" xfId="0" applyFont="1" applyFill="1" applyBorder="1" applyAlignment="1" applyProtection="1">
      <alignment/>
      <protection locked="0"/>
    </xf>
    <xf numFmtId="0" fontId="3" fillId="3" borderId="73" xfId="0" applyFont="1" applyFill="1" applyBorder="1" applyAlignment="1" applyProtection="1">
      <alignment horizontal="center"/>
      <protection locked="0"/>
    </xf>
    <xf numFmtId="0" fontId="36" fillId="3" borderId="91" xfId="0" applyFont="1" applyFill="1" applyBorder="1" applyAlignment="1" applyProtection="1">
      <alignment horizontal="center" vertical="center" wrapText="1"/>
      <protection locked="0"/>
    </xf>
    <xf numFmtId="0" fontId="7" fillId="3" borderId="0" xfId="0" applyFont="1" applyFill="1" applyBorder="1" applyAlignment="1" applyProtection="1">
      <alignment/>
      <protection locked="0"/>
    </xf>
    <xf numFmtId="0" fontId="11" fillId="3" borderId="92" xfId="0" applyFont="1" applyFill="1" applyBorder="1" applyAlignment="1" applyProtection="1">
      <alignment/>
      <protection locked="0"/>
    </xf>
    <xf numFmtId="0" fontId="3" fillId="3" borderId="75" xfId="0" applyFont="1" applyFill="1" applyBorder="1" applyAlignment="1" applyProtection="1">
      <alignment/>
      <protection locked="0"/>
    </xf>
    <xf numFmtId="0" fontId="11" fillId="3" borderId="93" xfId="0" applyFont="1" applyFill="1" applyBorder="1" applyAlignment="1" applyProtection="1">
      <alignment horizontal="right" wrapText="1"/>
      <protection locked="0"/>
    </xf>
    <xf numFmtId="0" fontId="3" fillId="3" borderId="94" xfId="0" applyFont="1" applyFill="1" applyBorder="1" applyAlignment="1" applyProtection="1">
      <alignment horizontal="center" wrapText="1"/>
      <protection locked="0"/>
    </xf>
    <xf numFmtId="17" fontId="11" fillId="3" borderId="95" xfId="0" applyNumberFormat="1" applyFont="1" applyFill="1" applyBorder="1" applyAlignment="1" applyProtection="1">
      <alignment/>
      <protection locked="0"/>
    </xf>
    <xf numFmtId="10" fontId="3" fillId="3" borderId="94" xfId="0" applyNumberFormat="1" applyFont="1" applyFill="1" applyBorder="1" applyAlignment="1" applyProtection="1">
      <alignment horizontal="center"/>
      <protection locked="0"/>
    </xf>
    <xf numFmtId="17" fontId="11" fillId="3" borderId="96" xfId="0" applyNumberFormat="1" applyFont="1" applyFill="1" applyBorder="1" applyAlignment="1" applyProtection="1">
      <alignment/>
      <protection locked="0"/>
    </xf>
    <xf numFmtId="17" fontId="11" fillId="3" borderId="72" xfId="0" applyNumberFormat="1" applyFont="1" applyFill="1" applyBorder="1" applyAlignment="1" applyProtection="1">
      <alignment/>
      <protection locked="0"/>
    </xf>
    <xf numFmtId="2" fontId="3" fillId="3" borderId="73" xfId="0" applyNumberFormat="1" applyFont="1" applyFill="1" applyBorder="1" applyAlignment="1" applyProtection="1">
      <alignment horizontal="center"/>
      <protection locked="0"/>
    </xf>
    <xf numFmtId="3" fontId="11" fillId="3" borderId="63" xfId="0" applyNumberFormat="1" applyFont="1" applyFill="1" applyBorder="1" applyAlignment="1" applyProtection="1">
      <alignment horizontal="center"/>
      <protection/>
    </xf>
    <xf numFmtId="1" fontId="11" fillId="3" borderId="63" xfId="0" applyNumberFormat="1" applyFont="1" applyFill="1" applyBorder="1" applyAlignment="1" applyProtection="1">
      <alignment horizontal="center"/>
      <protection/>
    </xf>
    <xf numFmtId="10" fontId="11" fillId="3" borderId="63" xfId="0" applyNumberFormat="1" applyFont="1" applyFill="1" applyBorder="1" applyAlignment="1" applyProtection="1">
      <alignment horizontal="center"/>
      <protection/>
    </xf>
    <xf numFmtId="0" fontId="36" fillId="3" borderId="41" xfId="0" applyFont="1" applyFill="1" applyBorder="1" applyAlignment="1" applyProtection="1">
      <alignment horizontal="center"/>
      <protection locked="0"/>
    </xf>
    <xf numFmtId="0" fontId="3" fillId="3" borderId="0" xfId="0" applyFont="1" applyFill="1" applyAlignment="1" applyProtection="1">
      <alignment horizontal="center"/>
      <protection locked="0"/>
    </xf>
    <xf numFmtId="0" fontId="23" fillId="3" borderId="0" xfId="0" applyFont="1" applyFill="1" applyBorder="1" applyAlignment="1" applyProtection="1">
      <alignment/>
      <protection locked="0"/>
    </xf>
    <xf numFmtId="0" fontId="11" fillId="3" borderId="41" xfId="0" applyFont="1" applyFill="1" applyBorder="1" applyAlignment="1" applyProtection="1">
      <alignment horizontal="center" vertical="center" wrapText="1"/>
      <protection locked="0"/>
    </xf>
    <xf numFmtId="0" fontId="3" fillId="3" borderId="0" xfId="0" applyFont="1" applyFill="1" applyBorder="1" applyAlignment="1" applyProtection="1">
      <alignment vertical="center" wrapText="1"/>
      <protection locked="0"/>
    </xf>
    <xf numFmtId="0" fontId="11" fillId="3" borderId="89" xfId="0" applyFont="1" applyFill="1" applyBorder="1" applyAlignment="1" applyProtection="1">
      <alignment horizontal="center" vertical="center" wrapText="1"/>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0" xfId="0" applyNumberFormat="1" applyFont="1" applyFill="1" applyBorder="1" applyAlignment="1" applyProtection="1">
      <alignment vertical="top" wrapText="1"/>
      <protection locked="0"/>
    </xf>
    <xf numFmtId="17" fontId="11" fillId="3" borderId="3" xfId="0" applyNumberFormat="1" applyFont="1" applyFill="1" applyBorder="1" applyAlignment="1" applyProtection="1">
      <alignment horizontal="center"/>
      <protection locked="0"/>
    </xf>
    <xf numFmtId="17" fontId="3" fillId="3" borderId="0"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protection locked="0"/>
    </xf>
    <xf numFmtId="3" fontId="11" fillId="3" borderId="64" xfId="0" applyNumberFormat="1" applyFont="1" applyFill="1" applyBorder="1" applyAlignment="1" applyProtection="1">
      <alignment horizontal="center"/>
      <protection locked="0"/>
    </xf>
    <xf numFmtId="3" fontId="11" fillId="3" borderId="98" xfId="0" applyNumberFormat="1" applyFont="1" applyFill="1" applyBorder="1" applyAlignment="1" applyProtection="1">
      <alignment horizontal="center"/>
      <protection locked="0"/>
    </xf>
    <xf numFmtId="2" fontId="0" fillId="3" borderId="0" xfId="0" applyNumberFormat="1" applyFill="1" applyBorder="1" applyAlignment="1" applyProtection="1">
      <alignment horizontal="center"/>
      <protection locked="0"/>
    </xf>
    <xf numFmtId="3" fontId="3" fillId="3" borderId="0" xfId="0" applyNumberFormat="1" applyFont="1" applyFill="1" applyBorder="1" applyAlignment="1" applyProtection="1">
      <alignment horizontal="center"/>
      <protection locked="0"/>
    </xf>
    <xf numFmtId="3" fontId="11" fillId="3" borderId="99" xfId="0" applyNumberFormat="1" applyFont="1" applyFill="1" applyBorder="1" applyAlignment="1" applyProtection="1">
      <alignment horizontal="center"/>
      <protection locked="0"/>
    </xf>
    <xf numFmtId="3" fontId="11" fillId="3" borderId="1" xfId="0" applyNumberFormat="1" applyFont="1" applyFill="1" applyBorder="1" applyAlignment="1" applyProtection="1">
      <alignment horizontal="center"/>
      <protection locked="0"/>
    </xf>
    <xf numFmtId="3" fontId="41" fillId="3" borderId="100" xfId="0" applyNumberFormat="1" applyFont="1" applyFill="1" applyBorder="1" applyAlignment="1" applyProtection="1">
      <alignment horizontal="center"/>
      <protection/>
    </xf>
    <xf numFmtId="3" fontId="41" fillId="3" borderId="101" xfId="0" applyNumberFormat="1" applyFont="1" applyFill="1" applyBorder="1" applyAlignment="1" applyProtection="1">
      <alignment horizontal="center"/>
      <protection/>
    </xf>
    <xf numFmtId="3" fontId="11" fillId="3" borderId="64" xfId="0" applyNumberFormat="1" applyFont="1" applyFill="1" applyBorder="1" applyAlignment="1" applyProtection="1">
      <alignment horizontal="center"/>
      <protection/>
    </xf>
    <xf numFmtId="0" fontId="16" fillId="3" borderId="0" xfId="0" applyFont="1" applyFill="1" applyAlignment="1" applyProtection="1">
      <alignment/>
      <protection locked="0"/>
    </xf>
    <xf numFmtId="0" fontId="11" fillId="3" borderId="99"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2" fontId="11" fillId="3" borderId="99" xfId="0" applyNumberFormat="1" applyFont="1" applyFill="1" applyBorder="1" applyAlignment="1" applyProtection="1">
      <alignment horizontal="center"/>
      <protection/>
    </xf>
    <xf numFmtId="2" fontId="11" fillId="3" borderId="0" xfId="0" applyNumberFormat="1" applyFont="1" applyFill="1" applyBorder="1" applyAlignment="1" applyProtection="1">
      <alignment horizontal="center"/>
      <protection/>
    </xf>
    <xf numFmtId="0" fontId="11" fillId="3" borderId="102" xfId="0" applyFont="1" applyFill="1" applyBorder="1" applyAlignment="1" applyProtection="1">
      <alignment horizontal="center"/>
      <protection/>
    </xf>
    <xf numFmtId="0" fontId="11" fillId="3" borderId="63" xfId="0" applyFont="1" applyFill="1" applyBorder="1" applyAlignment="1" applyProtection="1">
      <alignment horizontal="center"/>
      <protection/>
    </xf>
    <xf numFmtId="0" fontId="11" fillId="3" borderId="90" xfId="0" applyFont="1" applyFill="1" applyBorder="1" applyAlignment="1" applyProtection="1">
      <alignment horizontal="center"/>
      <protection/>
    </xf>
    <xf numFmtId="166" fontId="11" fillId="3" borderId="99" xfId="30" applyNumberFormat="1" applyFont="1" applyFill="1" applyBorder="1" applyAlignment="1" applyProtection="1">
      <alignment horizontal="center"/>
      <protection locked="0"/>
    </xf>
    <xf numFmtId="166" fontId="11" fillId="3" borderId="0" xfId="30" applyNumberFormat="1" applyFont="1" applyFill="1" applyBorder="1" applyAlignment="1" applyProtection="1">
      <alignment horizontal="center"/>
      <protection locked="0"/>
    </xf>
    <xf numFmtId="166" fontId="11" fillId="3" borderId="99" xfId="30" applyNumberFormat="1" applyFont="1" applyFill="1" applyBorder="1" applyAlignment="1" applyProtection="1">
      <alignment horizontal="center"/>
      <protection/>
    </xf>
    <xf numFmtId="166" fontId="11" fillId="3" borderId="0" xfId="30" applyNumberFormat="1" applyFont="1" applyFill="1" applyBorder="1" applyAlignment="1" applyProtection="1">
      <alignment horizontal="center"/>
      <protection/>
    </xf>
    <xf numFmtId="166" fontId="11" fillId="3" borderId="102" xfId="30" applyNumberFormat="1" applyFont="1" applyFill="1" applyBorder="1" applyAlignment="1" applyProtection="1">
      <alignment horizontal="center"/>
      <protection/>
    </xf>
    <xf numFmtId="166" fontId="11" fillId="3" borderId="63" xfId="30" applyNumberFormat="1" applyFont="1" applyFill="1" applyBorder="1" applyAlignment="1" applyProtection="1">
      <alignment horizontal="center"/>
      <protection/>
    </xf>
    <xf numFmtId="166" fontId="3" fillId="3" borderId="0" xfId="30" applyNumberFormat="1" applyFont="1" applyFill="1" applyBorder="1" applyAlignment="1" applyProtection="1">
      <alignment horizontal="center"/>
      <protection locked="0"/>
    </xf>
    <xf numFmtId="166" fontId="3" fillId="3" borderId="0" xfId="30" applyNumberFormat="1" applyFont="1" applyFill="1" applyBorder="1" applyAlignment="1" applyProtection="1">
      <alignment/>
      <protection locked="0"/>
    </xf>
    <xf numFmtId="10" fontId="16" fillId="3" borderId="0" xfId="30" applyNumberFormat="1" applyFont="1" applyFill="1" applyBorder="1" applyAlignment="1" applyProtection="1">
      <alignment horizontal="center"/>
      <protection locked="0"/>
    </xf>
    <xf numFmtId="0" fontId="3" fillId="3" borderId="71" xfId="0" applyFont="1" applyFill="1" applyBorder="1" applyAlignment="1" applyProtection="1">
      <alignment/>
      <protection locked="0"/>
    </xf>
    <xf numFmtId="0" fontId="36" fillId="3" borderId="92" xfId="0" applyFont="1" applyFill="1" applyBorder="1" applyAlignment="1" applyProtection="1">
      <alignment horizontal="center" wrapText="1"/>
      <protection locked="0"/>
    </xf>
    <xf numFmtId="0" fontId="36" fillId="3" borderId="92" xfId="0" applyFont="1" applyFill="1" applyBorder="1" applyAlignment="1" applyProtection="1">
      <alignment horizontal="center" vertical="center"/>
      <protection locked="0"/>
    </xf>
    <xf numFmtId="0" fontId="3" fillId="3" borderId="73" xfId="0" applyFont="1" applyFill="1" applyBorder="1" applyAlignment="1" applyProtection="1">
      <alignment/>
      <protection locked="0"/>
    </xf>
    <xf numFmtId="0" fontId="11" fillId="3" borderId="72" xfId="0" applyFont="1" applyFill="1" applyBorder="1" applyAlignment="1" applyProtection="1">
      <alignment/>
      <protection locked="0"/>
    </xf>
    <xf numFmtId="0" fontId="11" fillId="3" borderId="103" xfId="0"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xf>
    <xf numFmtId="3" fontId="41" fillId="3" borderId="104" xfId="0" applyNumberFormat="1" applyFont="1" applyFill="1" applyBorder="1" applyAlignment="1" applyProtection="1">
      <alignment horizontal="center"/>
      <protection/>
    </xf>
    <xf numFmtId="3" fontId="11" fillId="3" borderId="104" xfId="0" applyNumberFormat="1"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locked="0"/>
    </xf>
    <xf numFmtId="3" fontId="11" fillId="3" borderId="105" xfId="0" applyNumberFormat="1" applyFont="1" applyFill="1" applyBorder="1" applyAlignment="1" applyProtection="1">
      <alignment horizontal="center"/>
      <protection locked="0"/>
    </xf>
    <xf numFmtId="166" fontId="11" fillId="3" borderId="94" xfId="30" applyNumberFormat="1" applyFont="1" applyFill="1" applyBorder="1" applyAlignment="1" applyProtection="1">
      <alignment horizontal="center"/>
      <protection/>
    </xf>
    <xf numFmtId="166" fontId="11" fillId="3" borderId="94" xfId="30" applyNumberFormat="1" applyFont="1" applyFill="1" applyBorder="1" applyAlignment="1" applyProtection="1">
      <alignment horizontal="center"/>
      <protection locked="0"/>
    </xf>
    <xf numFmtId="166" fontId="11" fillId="3" borderId="105" xfId="30" applyNumberFormat="1" applyFont="1" applyFill="1" applyBorder="1" applyAlignment="1" applyProtection="1">
      <alignment horizontal="center"/>
      <protection locked="0"/>
    </xf>
    <xf numFmtId="0" fontId="3" fillId="3" borderId="72" xfId="0" applyFont="1" applyFill="1" applyBorder="1" applyAlignment="1" applyProtection="1">
      <alignment horizontal="center" vertical="center" wrapText="1"/>
      <protection locked="0"/>
    </xf>
    <xf numFmtId="166" fontId="3" fillId="3" borderId="73" xfId="30" applyNumberFormat="1" applyFont="1" applyFill="1" applyBorder="1" applyAlignment="1" applyProtection="1">
      <alignment horizontal="center"/>
      <protection locked="0"/>
    </xf>
    <xf numFmtId="17" fontId="3" fillId="3" borderId="73" xfId="0" applyNumberFormat="1" applyFont="1" applyFill="1" applyBorder="1" applyAlignment="1" applyProtection="1">
      <alignment horizontal="center"/>
      <protection locked="0"/>
    </xf>
    <xf numFmtId="0" fontId="0" fillId="3" borderId="0" xfId="28" applyFill="1" applyAlignment="1" applyProtection="1">
      <alignment/>
      <protection locked="0"/>
    </xf>
    <xf numFmtId="0" fontId="3" fillId="3" borderId="0" xfId="28" applyFont="1" applyFill="1" applyAlignment="1" applyProtection="1">
      <alignment/>
      <protection locked="0"/>
    </xf>
    <xf numFmtId="0" fontId="0" fillId="3" borderId="0" xfId="24" applyFill="1" applyAlignment="1" applyProtection="1">
      <alignment/>
      <protection locked="0"/>
    </xf>
    <xf numFmtId="0" fontId="3" fillId="3" borderId="0" xfId="28" applyFont="1" applyFill="1" applyBorder="1" applyAlignment="1" applyProtection="1">
      <alignment vertical="center" wrapText="1"/>
      <protection locked="0"/>
    </xf>
    <xf numFmtId="0" fontId="3" fillId="3" borderId="0" xfId="28" applyFont="1" applyFill="1" applyBorder="1" applyAlignment="1" applyProtection="1">
      <alignment wrapText="1"/>
      <protection locked="0"/>
    </xf>
    <xf numFmtId="0" fontId="3" fillId="3" borderId="0" xfId="28" applyFont="1" applyFill="1" applyBorder="1" applyAlignment="1" applyProtection="1">
      <alignment/>
      <protection locked="0"/>
    </xf>
    <xf numFmtId="0" fontId="11" fillId="3" borderId="57" xfId="28" applyFont="1" applyFill="1" applyBorder="1" applyAlignment="1" applyProtection="1">
      <alignment wrapText="1"/>
      <protection locked="0"/>
    </xf>
    <xf numFmtId="0" fontId="11" fillId="3" borderId="58" xfId="28" applyFont="1" applyFill="1" applyBorder="1" applyAlignment="1" applyProtection="1">
      <alignment wrapText="1"/>
      <protection locked="0"/>
    </xf>
    <xf numFmtId="0" fontId="11" fillId="3" borderId="0" xfId="28" applyFont="1" applyFill="1" applyBorder="1" applyAlignment="1" applyProtection="1">
      <alignment/>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17" fontId="11" fillId="3" borderId="2" xfId="28" applyNumberFormat="1" applyFont="1" applyFill="1" applyBorder="1" applyAlignment="1" applyProtection="1">
      <alignment horizontal="center"/>
      <protection locked="0"/>
    </xf>
    <xf numFmtId="4" fontId="11" fillId="3" borderId="98"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locked="0"/>
    </xf>
    <xf numFmtId="4" fontId="45" fillId="3" borderId="0"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xf>
    <xf numFmtId="4" fontId="45" fillId="3" borderId="63" xfId="24" applyNumberFormat="1" applyFont="1" applyFill="1" applyBorder="1" applyAlignment="1" applyProtection="1">
      <alignment horizontal="center"/>
      <protection/>
    </xf>
    <xf numFmtId="4" fontId="11" fillId="3" borderId="90" xfId="24" applyNumberFormat="1" applyFont="1" applyFill="1" applyBorder="1" applyAlignment="1" applyProtection="1">
      <alignment horizontal="center"/>
      <protection/>
    </xf>
    <xf numFmtId="0" fontId="9" fillId="3" borderId="0" xfId="29" applyFont="1" applyFill="1" applyBorder="1" applyAlignment="1">
      <alignment wrapText="1"/>
    </xf>
    <xf numFmtId="0" fontId="9" fillId="3" borderId="0" xfId="29" applyFont="1" applyFill="1" applyBorder="1" applyAlignment="1">
      <alignment/>
    </xf>
    <xf numFmtId="4" fontId="9" fillId="3" borderId="0" xfId="0" applyNumberFormat="1" applyFont="1" applyFill="1" applyBorder="1" applyAlignment="1">
      <alignment horizontal="center"/>
    </xf>
    <xf numFmtId="0" fontId="9" fillId="3" borderId="0" xfId="28" applyFont="1" applyFill="1" applyBorder="1" applyAlignment="1" applyProtection="1">
      <alignment wrapText="1"/>
      <protection locked="0"/>
    </xf>
    <xf numFmtId="0" fontId="9" fillId="3" borderId="0" xfId="28" applyFont="1" applyFill="1" applyBorder="1" applyAlignment="1" applyProtection="1">
      <alignment/>
      <protection locked="0"/>
    </xf>
    <xf numFmtId="0" fontId="0" fillId="3" borderId="0" xfId="28" applyFont="1" applyFill="1" applyAlignment="1" applyProtection="1">
      <alignment/>
      <protection locked="0"/>
    </xf>
    <xf numFmtId="17" fontId="11" fillId="3" borderId="83" xfId="24" applyNumberFormat="1" applyFont="1" applyFill="1" applyBorder="1" applyAlignment="1" applyProtection="1">
      <alignment horizontal="center"/>
      <protection locked="0"/>
    </xf>
    <xf numFmtId="3" fontId="11" fillId="3" borderId="106" xfId="24" applyNumberFormat="1" applyFont="1" applyFill="1" applyBorder="1" applyAlignment="1" applyProtection="1">
      <alignment horizontal="center" vertical="center"/>
      <protection locked="0"/>
    </xf>
    <xf numFmtId="3" fontId="11" fillId="3" borderId="107" xfId="24" applyNumberFormat="1" applyFont="1" applyFill="1" applyBorder="1" applyAlignment="1" applyProtection="1">
      <alignment horizontal="center" vertical="center"/>
      <protection locked="0"/>
    </xf>
    <xf numFmtId="3" fontId="11" fillId="3" borderId="108" xfId="24" applyNumberFormat="1" applyFont="1" applyFill="1" applyBorder="1" applyAlignment="1" applyProtection="1">
      <alignment horizontal="center" vertical="center"/>
      <protection locked="0"/>
    </xf>
    <xf numFmtId="3" fontId="11" fillId="3" borderId="109" xfId="24" applyNumberFormat="1" applyFont="1" applyFill="1" applyBorder="1" applyAlignment="1" applyProtection="1">
      <alignment horizontal="center" vertical="center"/>
      <protection locked="0"/>
    </xf>
    <xf numFmtId="3" fontId="11" fillId="3" borderId="110" xfId="24" applyNumberFormat="1" applyFont="1" applyFill="1" applyBorder="1" applyAlignment="1" applyProtection="1">
      <alignment horizontal="center" vertical="center"/>
      <protection locked="0"/>
    </xf>
    <xf numFmtId="3" fontId="11" fillId="3" borderId="111" xfId="24" applyNumberFormat="1" applyFont="1" applyFill="1" applyBorder="1" applyAlignment="1" applyProtection="1">
      <alignment horizontal="center" vertical="center"/>
      <protection locked="0"/>
    </xf>
    <xf numFmtId="1" fontId="11" fillId="3" borderId="109" xfId="24" applyNumberFormat="1" applyFont="1" applyFill="1" applyBorder="1" applyAlignment="1" applyProtection="1">
      <alignment horizontal="center" vertical="center"/>
      <protection locked="0"/>
    </xf>
    <xf numFmtId="1" fontId="11" fillId="3" borderId="112" xfId="24" applyNumberFormat="1" applyFont="1" applyFill="1" applyBorder="1" applyAlignment="1" applyProtection="1">
      <alignment horizontal="center" vertical="center"/>
      <protection locked="0"/>
    </xf>
    <xf numFmtId="1" fontId="11" fillId="3" borderId="111" xfId="24" applyNumberFormat="1" applyFont="1" applyFill="1" applyBorder="1" applyAlignment="1" applyProtection="1">
      <alignment horizontal="center" vertical="center"/>
      <protection locked="0"/>
    </xf>
    <xf numFmtId="3" fontId="11" fillId="3" borderId="113" xfId="24" applyNumberFormat="1" applyFont="1" applyFill="1" applyBorder="1" applyAlignment="1" applyProtection="1">
      <alignment horizontal="center"/>
      <protection/>
    </xf>
    <xf numFmtId="3" fontId="11" fillId="3" borderId="114" xfId="24" applyNumberFormat="1" applyFont="1" applyFill="1" applyBorder="1" applyAlignment="1" applyProtection="1">
      <alignment horizontal="center"/>
      <protection/>
    </xf>
    <xf numFmtId="3" fontId="11" fillId="3" borderId="115" xfId="24" applyNumberFormat="1" applyFont="1" applyFill="1" applyBorder="1" applyAlignment="1" applyProtection="1">
      <alignment horizontal="center"/>
      <protection/>
    </xf>
    <xf numFmtId="1" fontId="11" fillId="3" borderId="116" xfId="24" applyNumberFormat="1" applyFont="1" applyFill="1" applyBorder="1" applyAlignment="1" applyProtection="1">
      <alignment horizontal="center" vertical="center"/>
      <protection locked="0"/>
    </xf>
    <xf numFmtId="1" fontId="11" fillId="3" borderId="117" xfId="24" applyNumberFormat="1" applyFont="1" applyFill="1" applyBorder="1" applyAlignment="1" applyProtection="1">
      <alignment horizontal="center" vertical="center"/>
      <protection locked="0"/>
    </xf>
    <xf numFmtId="3" fontId="11" fillId="3" borderId="115" xfId="24" applyNumberFormat="1" applyFont="1" applyFill="1" applyBorder="1" applyAlignment="1" applyProtection="1">
      <alignment horizontal="center" vertical="center"/>
      <protection locked="0"/>
    </xf>
    <xf numFmtId="1" fontId="11" fillId="3" borderId="118"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locked="0"/>
    </xf>
    <xf numFmtId="1" fontId="11" fillId="3" borderId="120" xfId="24" applyNumberFormat="1" applyFont="1" applyFill="1" applyBorder="1" applyAlignment="1" applyProtection="1">
      <alignment horizontal="center" vertical="center"/>
      <protection locked="0"/>
    </xf>
    <xf numFmtId="1" fontId="45" fillId="3" borderId="121" xfId="24" applyNumberFormat="1" applyFont="1" applyFill="1" applyBorder="1" applyAlignment="1" applyProtection="1">
      <alignment horizontal="center" vertical="center"/>
      <protection locked="0"/>
    </xf>
    <xf numFmtId="1" fontId="45" fillId="3" borderId="122" xfId="24" applyNumberFormat="1" applyFont="1" applyFill="1" applyBorder="1" applyAlignment="1" applyProtection="1">
      <alignment horizontal="center" vertical="center"/>
      <protection locked="0"/>
    </xf>
    <xf numFmtId="3" fontId="11" fillId="3" borderId="123" xfId="24" applyNumberFormat="1" applyFont="1" applyFill="1" applyBorder="1" applyAlignment="1" applyProtection="1">
      <alignment horizontal="center" vertical="center"/>
      <protection/>
    </xf>
    <xf numFmtId="1" fontId="11" fillId="3" borderId="121" xfId="24" applyNumberFormat="1" applyFont="1" applyFill="1" applyBorder="1" applyAlignment="1" applyProtection="1">
      <alignment horizontal="center" vertical="center"/>
      <protection locked="0"/>
    </xf>
    <xf numFmtId="1" fontId="11" fillId="3" borderId="124"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xf>
    <xf numFmtId="0" fontId="5" fillId="3" borderId="0" xfId="28" applyFont="1" applyFill="1" applyAlignment="1" applyProtection="1">
      <alignment/>
      <protection locked="0"/>
    </xf>
    <xf numFmtId="1" fontId="11" fillId="3" borderId="106" xfId="24" applyNumberFormat="1" applyFont="1" applyFill="1" applyBorder="1" applyAlignment="1" applyProtection="1">
      <alignment horizontal="center" vertical="center"/>
      <protection locked="0"/>
    </xf>
    <xf numFmtId="1" fontId="11" fillId="3" borderId="107" xfId="24" applyNumberFormat="1" applyFont="1" applyFill="1" applyBorder="1" applyAlignment="1" applyProtection="1">
      <alignment horizontal="center" vertical="center"/>
      <protection locked="0"/>
    </xf>
    <xf numFmtId="1" fontId="11" fillId="3" borderId="108" xfId="24" applyNumberFormat="1" applyFont="1" applyFill="1" applyBorder="1" applyAlignment="1" applyProtection="1">
      <alignment horizontal="center" vertical="center"/>
      <protection locked="0"/>
    </xf>
    <xf numFmtId="1" fontId="11" fillId="3" borderId="113" xfId="24" applyNumberFormat="1" applyFont="1" applyFill="1" applyBorder="1" applyAlignment="1" applyProtection="1">
      <alignment horizontal="center"/>
      <protection/>
    </xf>
    <xf numFmtId="1" fontId="11" fillId="3" borderId="114"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protection/>
    </xf>
    <xf numFmtId="1" fontId="11" fillId="3" borderId="13" xfId="24" applyNumberFormat="1" applyFont="1" applyFill="1" applyBorder="1" applyAlignment="1" applyProtection="1">
      <alignment horizontal="center"/>
      <protection/>
    </xf>
    <xf numFmtId="1" fontId="11" fillId="3" borderId="125" xfId="24" applyNumberFormat="1" applyFont="1" applyFill="1" applyBorder="1" applyAlignment="1" applyProtection="1">
      <alignment horizontal="center"/>
      <protection/>
    </xf>
    <xf numFmtId="1" fontId="11" fillId="3" borderId="12" xfId="24" applyNumberFormat="1" applyFont="1" applyFill="1" applyBorder="1" applyAlignment="1" applyProtection="1">
      <alignment horizontal="center"/>
      <protection/>
    </xf>
    <xf numFmtId="1" fontId="11" fillId="3" borderId="119"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vertical="center"/>
      <protection locked="0"/>
    </xf>
    <xf numFmtId="1" fontId="11" fillId="3" borderId="119" xfId="24" applyNumberFormat="1" applyFont="1" applyFill="1" applyBorder="1" applyAlignment="1" applyProtection="1">
      <alignment horizontal="center" vertical="center"/>
      <protection locked="0"/>
    </xf>
    <xf numFmtId="1" fontId="11" fillId="3" borderId="122" xfId="24" applyNumberFormat="1" applyFont="1" applyFill="1" applyBorder="1" applyAlignment="1" applyProtection="1">
      <alignment horizontal="center" vertical="center"/>
      <protection locked="0"/>
    </xf>
    <xf numFmtId="1" fontId="11" fillId="3" borderId="123" xfId="24" applyNumberFormat="1" applyFont="1" applyFill="1" applyBorder="1" applyAlignment="1" applyProtection="1">
      <alignment horizontal="center" vertical="center"/>
      <protection/>
    </xf>
    <xf numFmtId="1" fontId="11" fillId="3" borderId="119" xfId="24" applyNumberFormat="1" applyFont="1" applyFill="1" applyBorder="1" applyAlignment="1" applyProtection="1">
      <alignment horizontal="center" vertical="center"/>
      <protection/>
    </xf>
    <xf numFmtId="0" fontId="0" fillId="3" borderId="0" xfId="24" applyFill="1" applyBorder="1" applyAlignment="1" applyProtection="1">
      <alignment/>
      <protection locked="0"/>
    </xf>
    <xf numFmtId="0" fontId="3" fillId="3" borderId="0" xfId="28" applyFont="1" applyFill="1" applyBorder="1" applyAlignment="1" applyProtection="1">
      <alignment horizontal="center"/>
      <protection locked="0"/>
    </xf>
    <xf numFmtId="0" fontId="3" fillId="3" borderId="0" xfId="28" applyFont="1" applyFill="1" applyBorder="1" applyAlignment="1" applyProtection="1">
      <alignment horizontal="center" vertical="center" wrapText="1"/>
      <protection locked="0"/>
    </xf>
    <xf numFmtId="1" fontId="3" fillId="3" borderId="0" xfId="28" applyNumberFormat="1" applyFont="1" applyFill="1" applyBorder="1" applyAlignment="1" applyProtection="1">
      <alignment horizontal="center" vertical="center"/>
      <protection locked="0"/>
    </xf>
    <xf numFmtId="0" fontId="40" fillId="3" borderId="69" xfId="28" applyFont="1" applyFill="1" applyBorder="1" applyAlignment="1" applyProtection="1">
      <alignment/>
      <protection locked="0"/>
    </xf>
    <xf numFmtId="0" fontId="3" fillId="3" borderId="70" xfId="28" applyFont="1" applyFill="1" applyBorder="1" applyAlignment="1" applyProtection="1">
      <alignment/>
      <protection locked="0"/>
    </xf>
    <xf numFmtId="0" fontId="3" fillId="3" borderId="71" xfId="28" applyFont="1" applyFill="1" applyBorder="1" applyAlignment="1" applyProtection="1">
      <alignment/>
      <protection locked="0"/>
    </xf>
    <xf numFmtId="0" fontId="3" fillId="3" borderId="72" xfId="28" applyFont="1" applyFill="1" applyBorder="1" applyAlignment="1" applyProtection="1">
      <alignment/>
      <protection locked="0"/>
    </xf>
    <xf numFmtId="0" fontId="3" fillId="3" borderId="0" xfId="28" applyFont="1" applyFill="1" applyBorder="1" applyAlignment="1" applyProtection="1">
      <alignment/>
      <protection locked="0"/>
    </xf>
    <xf numFmtId="0" fontId="3" fillId="3" borderId="73" xfId="28" applyFont="1" applyFill="1" applyBorder="1" applyAlignment="1" applyProtection="1">
      <alignment/>
      <protection locked="0"/>
    </xf>
    <xf numFmtId="0" fontId="35" fillId="3" borderId="72" xfId="28" applyFont="1" applyFill="1" applyBorder="1" applyAlignment="1" applyProtection="1">
      <alignment/>
      <protection locked="0"/>
    </xf>
    <xf numFmtId="0" fontId="36" fillId="3" borderId="91" xfId="28" applyFont="1" applyFill="1" applyBorder="1" applyAlignment="1" applyProtection="1">
      <alignment horizontal="center" vertical="center" wrapText="1"/>
      <protection locked="0"/>
    </xf>
    <xf numFmtId="0" fontId="3" fillId="3" borderId="72" xfId="28" applyFont="1" applyFill="1" applyBorder="1" applyAlignment="1" applyProtection="1">
      <alignment horizontal="center" wrapText="1"/>
      <protection locked="0"/>
    </xf>
    <xf numFmtId="0" fontId="3" fillId="3" borderId="73" xfId="28" applyFont="1" applyFill="1" applyBorder="1" applyAlignment="1" applyProtection="1">
      <alignment/>
      <protection locked="0"/>
    </xf>
    <xf numFmtId="0" fontId="11" fillId="3" borderId="73" xfId="28" applyFont="1" applyFill="1" applyBorder="1" applyAlignment="1" applyProtection="1">
      <alignment/>
      <protection locked="0"/>
    </xf>
    <xf numFmtId="0" fontId="35" fillId="3" borderId="72" xfId="28" applyFont="1" applyFill="1" applyBorder="1" applyAlignment="1" applyProtection="1">
      <alignment horizontal="left" wrapText="1"/>
      <protection locked="0"/>
    </xf>
    <xf numFmtId="0" fontId="11" fillId="3" borderId="73" xfId="28" applyFont="1" applyFill="1" applyBorder="1" applyAlignment="1" applyProtection="1">
      <alignment/>
      <protection locked="0"/>
    </xf>
    <xf numFmtId="17" fontId="36" fillId="3" borderId="126" xfId="28" applyNumberFormat="1" applyFont="1" applyFill="1" applyBorder="1" applyAlignment="1" applyProtection="1">
      <alignment horizontal="center"/>
      <protection locked="0"/>
    </xf>
    <xf numFmtId="0" fontId="11" fillId="3" borderId="84"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locked="0"/>
    </xf>
    <xf numFmtId="4" fontId="11" fillId="3" borderId="104" xfId="24" applyNumberFormat="1" applyFont="1" applyFill="1" applyBorder="1" applyAlignment="1" applyProtection="1">
      <alignment/>
      <protection locked="0"/>
    </xf>
    <xf numFmtId="0" fontId="11" fillId="3" borderId="87"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xf>
    <xf numFmtId="4" fontId="11" fillId="3" borderId="94" xfId="24" applyNumberFormat="1" applyFont="1" applyFill="1" applyBorder="1" applyAlignment="1" applyProtection="1">
      <alignment/>
      <protection locked="0"/>
    </xf>
    <xf numFmtId="4" fontId="11" fillId="3" borderId="94" xfId="24" applyNumberFormat="1" applyFont="1" applyFill="1" applyBorder="1" applyAlignment="1" applyProtection="1">
      <alignment/>
      <protection/>
    </xf>
    <xf numFmtId="0" fontId="11" fillId="3" borderId="88" xfId="24" applyFont="1" applyFill="1" applyBorder="1" applyAlignment="1" applyProtection="1">
      <alignment horizontal="left"/>
      <protection locked="0"/>
    </xf>
    <xf numFmtId="4" fontId="11" fillId="3" borderId="105" xfId="24" applyNumberFormat="1" applyFont="1" applyFill="1" applyBorder="1" applyAlignment="1" applyProtection="1">
      <alignment/>
      <protection locked="0"/>
    </xf>
    <xf numFmtId="0" fontId="69" fillId="3" borderId="0" xfId="0" applyFont="1" applyFill="1" applyBorder="1" applyAlignment="1">
      <alignment/>
    </xf>
    <xf numFmtId="0" fontId="0" fillId="3" borderId="72" xfId="24" applyFill="1" applyBorder="1" applyAlignment="1" applyProtection="1">
      <alignment/>
      <protection locked="0"/>
    </xf>
    <xf numFmtId="0" fontId="0" fillId="3" borderId="73" xfId="24" applyFill="1" applyBorder="1" applyAlignment="1" applyProtection="1">
      <alignment/>
      <protection locked="0"/>
    </xf>
    <xf numFmtId="0" fontId="11" fillId="3" borderId="72" xfId="28" applyFont="1" applyFill="1" applyBorder="1" applyAlignment="1" applyProtection="1">
      <alignment vertical="top" wrapText="1"/>
      <protection locked="0"/>
    </xf>
    <xf numFmtId="0" fontId="11" fillId="3" borderId="0" xfId="28" applyFont="1" applyFill="1" applyBorder="1" applyAlignment="1" applyProtection="1">
      <alignment vertical="top" wrapText="1"/>
      <protection locked="0"/>
    </xf>
    <xf numFmtId="0" fontId="11" fillId="3" borderId="73" xfId="28" applyFont="1" applyFill="1" applyBorder="1" applyAlignment="1" applyProtection="1">
      <alignment vertical="top" wrapText="1"/>
      <protection locked="0"/>
    </xf>
    <xf numFmtId="0" fontId="24" fillId="3" borderId="72" xfId="28" applyFont="1" applyFill="1" applyBorder="1" applyAlignment="1" applyProtection="1">
      <alignment horizontal="left" wrapText="1"/>
      <protection locked="0"/>
    </xf>
    <xf numFmtId="0" fontId="11" fillId="3" borderId="72" xfId="24" applyFont="1" applyFill="1" applyBorder="1" applyAlignment="1" applyProtection="1">
      <alignment/>
      <protection locked="0"/>
    </xf>
    <xf numFmtId="0" fontId="11" fillId="3" borderId="73" xfId="24" applyFont="1" applyFill="1" applyBorder="1" applyAlignment="1" applyProtection="1">
      <alignment/>
      <protection locked="0"/>
    </xf>
    <xf numFmtId="0" fontId="36" fillId="3" borderId="91" xfId="24" applyFont="1" applyFill="1" applyBorder="1" applyAlignment="1" applyProtection="1">
      <alignment/>
      <protection locked="0"/>
    </xf>
    <xf numFmtId="17" fontId="36" fillId="3" borderId="126" xfId="24" applyNumberFormat="1" applyFont="1" applyFill="1" applyBorder="1" applyAlignment="1" applyProtection="1">
      <alignment horizontal="center"/>
      <protection locked="0"/>
    </xf>
    <xf numFmtId="0" fontId="11" fillId="3" borderId="87" xfId="24" applyFont="1" applyFill="1" applyBorder="1" applyAlignment="1" applyProtection="1">
      <alignment horizontal="left" vertical="center" wrapText="1"/>
      <protection locked="0"/>
    </xf>
    <xf numFmtId="3" fontId="11" fillId="3" borderId="104" xfId="24" applyNumberFormat="1" applyFont="1" applyFill="1" applyBorder="1" applyAlignment="1" applyProtection="1">
      <alignment horizontal="center" vertical="center"/>
      <protection/>
    </xf>
    <xf numFmtId="3" fontId="11" fillId="3" borderId="94" xfId="24" applyNumberFormat="1" applyFont="1" applyFill="1" applyBorder="1" applyAlignment="1" applyProtection="1">
      <alignment horizontal="center"/>
      <protection locked="0"/>
    </xf>
    <xf numFmtId="3" fontId="11" fillId="3" borderId="94" xfId="24" applyNumberFormat="1" applyFont="1" applyFill="1" applyBorder="1" applyAlignment="1" applyProtection="1">
      <alignment horizontal="center" vertical="center"/>
      <protection/>
    </xf>
    <xf numFmtId="1" fontId="11" fillId="3" borderId="73" xfId="24" applyNumberFormat="1" applyFont="1" applyFill="1" applyBorder="1" applyAlignment="1" applyProtection="1">
      <alignment horizontal="center" vertical="center"/>
      <protection locked="0"/>
    </xf>
    <xf numFmtId="0" fontId="9" fillId="3" borderId="72" xfId="28" applyFont="1" applyFill="1" applyBorder="1" applyAlignment="1" applyProtection="1">
      <alignment horizontal="center" wrapText="1"/>
      <protection locked="0"/>
    </xf>
    <xf numFmtId="0" fontId="3" fillId="3" borderId="73" xfId="24" applyFont="1" applyFill="1" applyBorder="1" applyAlignment="1" applyProtection="1">
      <alignment/>
      <protection locked="0"/>
    </xf>
    <xf numFmtId="1" fontId="11" fillId="3" borderId="104" xfId="24" applyNumberFormat="1" applyFont="1" applyFill="1" applyBorder="1" applyAlignment="1" applyProtection="1">
      <alignment horizontal="center" vertical="center"/>
      <protection/>
    </xf>
    <xf numFmtId="1" fontId="11" fillId="3" borderId="94" xfId="24" applyNumberFormat="1" applyFont="1" applyFill="1" applyBorder="1" applyAlignment="1" applyProtection="1">
      <alignment horizontal="center"/>
      <protection locked="0"/>
    </xf>
    <xf numFmtId="1" fontId="11" fillId="3" borderId="94" xfId="24" applyNumberFormat="1" applyFont="1" applyFill="1" applyBorder="1" applyAlignment="1" applyProtection="1">
      <alignment horizontal="center" vertical="center"/>
      <protection/>
    </xf>
    <xf numFmtId="0" fontId="0" fillId="3" borderId="79" xfId="24" applyFill="1" applyBorder="1" applyAlignment="1" applyProtection="1">
      <alignment/>
      <protection locked="0"/>
    </xf>
    <xf numFmtId="0" fontId="0" fillId="3" borderId="80" xfId="24" applyFill="1" applyBorder="1" applyAlignment="1" applyProtection="1">
      <alignment/>
      <protection locked="0"/>
    </xf>
    <xf numFmtId="0" fontId="0" fillId="3" borderId="81" xfId="24" applyFill="1" applyBorder="1" applyAlignment="1" applyProtection="1">
      <alignment/>
      <protection locked="0"/>
    </xf>
    <xf numFmtId="0" fontId="0" fillId="3" borderId="0" xfId="27" applyFill="1" applyBorder="1" applyAlignment="1" applyProtection="1">
      <alignment vertical="center" wrapText="1"/>
      <protection locked="0"/>
    </xf>
    <xf numFmtId="0" fontId="0" fillId="3" borderId="0" xfId="0" applyFill="1" applyBorder="1" applyAlignment="1" applyProtection="1">
      <alignment vertical="center"/>
      <protection locked="0"/>
    </xf>
    <xf numFmtId="0" fontId="3" fillId="3" borderId="0" xfId="0" applyFont="1" applyFill="1" applyAlignment="1" applyProtection="1">
      <alignment vertical="center"/>
      <protection locked="0"/>
    </xf>
    <xf numFmtId="0" fontId="11" fillId="3" borderId="57" xfId="0" applyFont="1" applyFill="1" applyBorder="1" applyAlignment="1" applyProtection="1">
      <alignment/>
      <protection locked="0"/>
    </xf>
    <xf numFmtId="0" fontId="11" fillId="3" borderId="59" xfId="0" applyFont="1" applyFill="1" applyBorder="1" applyAlignment="1" applyProtection="1">
      <alignment vertical="center" wrapText="1"/>
      <protection locked="0"/>
    </xf>
    <xf numFmtId="0" fontId="11" fillId="3" borderId="48" xfId="0" applyFont="1" applyFill="1" applyBorder="1" applyAlignment="1" applyProtection="1">
      <alignment horizontal="center" vertical="center" wrapText="1"/>
      <protection locked="0"/>
    </xf>
    <xf numFmtId="0" fontId="11" fillId="3" borderId="127" xfId="0" applyFont="1" applyFill="1" applyBorder="1" applyAlignment="1" applyProtection="1">
      <alignment horizontal="center" vertical="center" wrapText="1"/>
      <protection locked="0"/>
    </xf>
    <xf numFmtId="0" fontId="58" fillId="3" borderId="0" xfId="0" applyFont="1" applyFill="1" applyAlignment="1" applyProtection="1">
      <alignment/>
      <protection locked="0"/>
    </xf>
    <xf numFmtId="0" fontId="64" fillId="3" borderId="0" xfId="0" applyFont="1" applyFill="1" applyAlignment="1" applyProtection="1">
      <alignment/>
      <protection locked="0"/>
    </xf>
    <xf numFmtId="4" fontId="11" fillId="3" borderId="128" xfId="0" applyNumberFormat="1" applyFont="1" applyFill="1" applyBorder="1" applyAlignment="1" applyProtection="1">
      <alignment horizontal="center"/>
      <protection locked="0"/>
    </xf>
    <xf numFmtId="0" fontId="63" fillId="3" borderId="0" xfId="0" applyFont="1" applyFill="1" applyAlignment="1" applyProtection="1">
      <alignment/>
      <protection locked="0"/>
    </xf>
    <xf numFmtId="0" fontId="60" fillId="3" borderId="0" xfId="0" applyFont="1" applyFill="1" applyAlignment="1" applyProtection="1">
      <alignment/>
      <protection locked="0"/>
    </xf>
    <xf numFmtId="2" fontId="11" fillId="3" borderId="128" xfId="0" applyNumberFormat="1" applyFont="1" applyFill="1" applyBorder="1" applyAlignment="1" applyProtection="1">
      <alignment horizontal="center"/>
      <protection locked="0"/>
    </xf>
    <xf numFmtId="0" fontId="65" fillId="3" borderId="0" xfId="0" applyFont="1" applyFill="1" applyAlignment="1" applyProtection="1">
      <alignment horizontal="left" indent="4"/>
      <protection locked="0"/>
    </xf>
    <xf numFmtId="2" fontId="11" fillId="3" borderId="129" xfId="0" applyNumberFormat="1" applyFont="1" applyFill="1" applyBorder="1" applyAlignment="1" applyProtection="1">
      <alignment horizontal="center"/>
      <protection locked="0"/>
    </xf>
    <xf numFmtId="2" fontId="11" fillId="3" borderId="130" xfId="0" applyNumberFormat="1" applyFont="1" applyFill="1" applyBorder="1" applyAlignment="1" applyProtection="1">
      <alignment horizontal="center"/>
      <protection locked="0"/>
    </xf>
    <xf numFmtId="3" fontId="11" fillId="3" borderId="131" xfId="0" applyNumberFormat="1" applyFont="1" applyFill="1" applyBorder="1" applyAlignment="1" applyProtection="1">
      <alignment horizontal="center"/>
      <protection locked="0"/>
    </xf>
    <xf numFmtId="0" fontId="3" fillId="3" borderId="99" xfId="0" applyFont="1" applyFill="1" applyBorder="1" applyAlignment="1" applyProtection="1">
      <alignment/>
      <protection locked="0"/>
    </xf>
    <xf numFmtId="0" fontId="11" fillId="3" borderId="132" xfId="0" applyFont="1" applyFill="1" applyBorder="1" applyAlignment="1" applyProtection="1">
      <alignment/>
      <protection locked="0"/>
    </xf>
    <xf numFmtId="0" fontId="11" fillId="3" borderId="73" xfId="0" applyFont="1" applyFill="1" applyBorder="1" applyAlignment="1" applyProtection="1">
      <alignment vertical="center" wrapText="1"/>
      <protection locked="0"/>
    </xf>
    <xf numFmtId="0" fontId="3" fillId="3" borderId="133" xfId="0" applyFont="1" applyFill="1" applyBorder="1" applyAlignment="1" applyProtection="1">
      <alignment horizontal="left" vertical="center" wrapText="1"/>
      <protection locked="0"/>
    </xf>
    <xf numFmtId="0" fontId="3" fillId="3" borderId="72" xfId="0" applyFont="1" applyFill="1" applyBorder="1" applyAlignment="1" applyProtection="1">
      <alignment horizontal="left" vertical="center" wrapText="1"/>
      <protection locked="0"/>
    </xf>
    <xf numFmtId="0" fontId="11" fillId="3" borderId="134" xfId="0" applyFont="1" applyFill="1" applyBorder="1" applyAlignment="1" applyProtection="1">
      <alignment horizontal="right" wrapText="1"/>
      <protection locked="0"/>
    </xf>
    <xf numFmtId="17" fontId="11" fillId="3" borderId="135" xfId="0" applyNumberFormat="1" applyFont="1" applyFill="1" applyBorder="1" applyAlignment="1" applyProtection="1">
      <alignment/>
      <protection locked="0"/>
    </xf>
    <xf numFmtId="0" fontId="36" fillId="3" borderId="93" xfId="0" applyFont="1" applyFill="1" applyBorder="1" applyAlignment="1" applyProtection="1">
      <alignment horizontal="center" vertical="center" wrapText="1"/>
      <protection locked="0"/>
    </xf>
    <xf numFmtId="0" fontId="11" fillId="3" borderId="57" xfId="0" applyFont="1" applyFill="1" applyBorder="1" applyAlignment="1" applyProtection="1">
      <alignment wrapText="1"/>
      <protection locked="0"/>
    </xf>
    <xf numFmtId="0" fontId="11" fillId="3" borderId="58" xfId="0" applyFont="1" applyFill="1" applyBorder="1" applyAlignment="1" applyProtection="1">
      <alignment wrapText="1"/>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vertical="center" wrapText="1"/>
      <protection locked="0"/>
    </xf>
    <xf numFmtId="0" fontId="11" fillId="3" borderId="61" xfId="0" applyFont="1" applyFill="1" applyBorder="1" applyAlignment="1" applyProtection="1">
      <alignment/>
      <protection locked="0"/>
    </xf>
    <xf numFmtId="0" fontId="3" fillId="3" borderId="136" xfId="0" applyFont="1" applyFill="1" applyBorder="1" applyAlignment="1" applyProtection="1">
      <alignment wrapText="1"/>
      <protection locked="0"/>
    </xf>
    <xf numFmtId="0" fontId="3" fillId="3" borderId="136" xfId="0" applyFont="1" applyFill="1" applyBorder="1" applyAlignment="1" applyProtection="1">
      <alignment/>
      <protection locked="0"/>
    </xf>
    <xf numFmtId="0" fontId="0" fillId="3" borderId="59"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0" xfId="0" applyFont="1" applyFill="1" applyBorder="1" applyAlignment="1" applyProtection="1">
      <alignment/>
      <protection locked="0"/>
    </xf>
    <xf numFmtId="0" fontId="0" fillId="3" borderId="60" xfId="0" applyFont="1" applyFill="1" applyBorder="1" applyAlignment="1" applyProtection="1">
      <alignment wrapText="1"/>
      <protection locked="0"/>
    </xf>
    <xf numFmtId="0" fontId="0" fillId="3" borderId="61" xfId="0" applyFont="1" applyFill="1" applyBorder="1" applyAlignment="1" applyProtection="1">
      <alignment wrapText="1"/>
      <protection locked="0"/>
    </xf>
    <xf numFmtId="0" fontId="0" fillId="3" borderId="61" xfId="0" applyFont="1" applyFill="1" applyBorder="1" applyAlignment="1" applyProtection="1">
      <alignment/>
      <protection locked="0"/>
    </xf>
    <xf numFmtId="0" fontId="11" fillId="3" borderId="137" xfId="0" applyFont="1" applyFill="1" applyBorder="1" applyAlignment="1" applyProtection="1">
      <alignment horizontal="center" vertical="center" wrapText="1"/>
      <protection locked="0"/>
    </xf>
    <xf numFmtId="0" fontId="11" fillId="3" borderId="41" xfId="0" applyFont="1" applyFill="1" applyBorder="1" applyAlignment="1" applyProtection="1">
      <alignment horizontal="center" vertical="center" wrapText="1"/>
      <protection locked="0"/>
    </xf>
    <xf numFmtId="0" fontId="11" fillId="3" borderId="42" xfId="0" applyFont="1" applyFill="1" applyBorder="1" applyAlignment="1" applyProtection="1">
      <alignment horizontal="center" vertical="center" wrapText="1"/>
      <protection locked="0"/>
    </xf>
    <xf numFmtId="0" fontId="9" fillId="3" borderId="0" xfId="0" applyFont="1" applyFill="1" applyAlignment="1" applyProtection="1">
      <alignment horizontal="center" wrapText="1"/>
      <protection locked="0"/>
    </xf>
    <xf numFmtId="164" fontId="11" fillId="3" borderId="99" xfId="0" applyNumberFormat="1" applyFont="1" applyFill="1" applyBorder="1" applyAlignment="1" applyProtection="1">
      <alignment horizontal="center"/>
      <protection locked="0"/>
    </xf>
    <xf numFmtId="164" fontId="11" fillId="3" borderId="0" xfId="0" applyNumberFormat="1" applyFont="1" applyFill="1" applyBorder="1" applyAlignment="1" applyProtection="1">
      <alignment horizontal="center"/>
      <protection/>
    </xf>
    <xf numFmtId="4" fontId="11" fillId="3" borderId="0" xfId="0" applyNumberFormat="1" applyFont="1" applyFill="1" applyBorder="1" applyAlignment="1" applyProtection="1">
      <alignment horizontal="center"/>
      <protection/>
    </xf>
    <xf numFmtId="2" fontId="11" fillId="3" borderId="1" xfId="0" applyNumberFormat="1" applyFont="1" applyFill="1" applyBorder="1" applyAlignment="1" applyProtection="1">
      <alignment horizontal="center"/>
      <protection locked="0"/>
    </xf>
    <xf numFmtId="0" fontId="9" fillId="3" borderId="0" xfId="0" applyFont="1" applyFill="1" applyAlignment="1" applyProtection="1">
      <alignment horizontal="center"/>
      <protection locked="0"/>
    </xf>
    <xf numFmtId="164" fontId="11" fillId="3" borderId="102" xfId="0" applyNumberFormat="1" applyFont="1" applyFill="1" applyBorder="1" applyAlignment="1" applyProtection="1">
      <alignment horizontal="center"/>
      <protection locked="0"/>
    </xf>
    <xf numFmtId="164" fontId="11" fillId="3" borderId="63" xfId="0" applyNumberFormat="1" applyFont="1" applyFill="1" applyBorder="1" applyAlignment="1" applyProtection="1">
      <alignment horizontal="center"/>
      <protection/>
    </xf>
    <xf numFmtId="4" fontId="11" fillId="3" borderId="63" xfId="0" applyNumberFormat="1" applyFont="1" applyFill="1" applyBorder="1" applyAlignment="1" applyProtection="1">
      <alignment horizontal="center"/>
      <protection/>
    </xf>
    <xf numFmtId="2" fontId="11" fillId="3" borderId="90" xfId="30" applyNumberFormat="1"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xf>
    <xf numFmtId="0" fontId="11" fillId="3" borderId="52"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wrapText="1"/>
      <protection locked="0"/>
    </xf>
    <xf numFmtId="3" fontId="11" fillId="3" borderId="138" xfId="0" applyNumberFormat="1" applyFont="1" applyFill="1" applyBorder="1" applyAlignment="1" applyProtection="1">
      <alignment horizontal="center"/>
      <protection/>
    </xf>
    <xf numFmtId="0" fontId="11" fillId="3" borderId="138" xfId="0" applyFont="1" applyFill="1" applyBorder="1" applyAlignment="1" applyProtection="1">
      <alignment horizontal="center"/>
      <protection locked="0"/>
    </xf>
    <xf numFmtId="175" fontId="11" fillId="3" borderId="0" xfId="0" applyNumberFormat="1" applyFont="1" applyFill="1" applyBorder="1" applyAlignment="1" applyProtection="1">
      <alignment horizontal="center"/>
      <protection locked="0"/>
    </xf>
    <xf numFmtId="175" fontId="11" fillId="3" borderId="58" xfId="0" applyNumberFormat="1" applyFont="1" applyFill="1" applyBorder="1" applyAlignment="1" applyProtection="1">
      <alignment horizontal="center"/>
      <protection locked="0"/>
    </xf>
    <xf numFmtId="175" fontId="11" fillId="3" borderId="139" xfId="0" applyNumberFormat="1" applyFont="1" applyFill="1" applyBorder="1" applyAlignment="1" applyProtection="1">
      <alignment horizontal="center"/>
      <protection locked="0"/>
    </xf>
    <xf numFmtId="175" fontId="11" fillId="3" borderId="1"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protection locked="0"/>
    </xf>
    <xf numFmtId="3" fontId="11" fillId="3" borderId="102" xfId="0" applyNumberFormat="1" applyFont="1" applyFill="1" applyBorder="1" applyAlignment="1" applyProtection="1">
      <alignment horizontal="center"/>
      <protection locked="0"/>
    </xf>
    <xf numFmtId="3" fontId="11" fillId="3" borderId="140" xfId="0" applyNumberFormat="1" applyFont="1" applyFill="1" applyBorder="1" applyAlignment="1" applyProtection="1">
      <alignment horizontal="center"/>
      <protection/>
    </xf>
    <xf numFmtId="0" fontId="11" fillId="3" borderId="63" xfId="0" applyFont="1" applyFill="1" applyBorder="1" applyAlignment="1" applyProtection="1">
      <alignment horizontal="center"/>
      <protection locked="0"/>
    </xf>
    <xf numFmtId="0" fontId="11" fillId="3" borderId="140" xfId="0" applyFont="1" applyFill="1" applyBorder="1" applyAlignment="1" applyProtection="1">
      <alignment horizontal="center"/>
      <protection locked="0"/>
    </xf>
    <xf numFmtId="175" fontId="11" fillId="3" borderId="63" xfId="0" applyNumberFormat="1" applyFont="1" applyFill="1" applyBorder="1" applyAlignment="1" applyProtection="1">
      <alignment horizontal="center"/>
      <protection locked="0"/>
    </xf>
    <xf numFmtId="175" fontId="11" fillId="3" borderId="90" xfId="0" applyNumberFormat="1" applyFont="1" applyFill="1" applyBorder="1" applyAlignment="1" applyProtection="1">
      <alignment horizontal="center"/>
      <protection locked="0"/>
    </xf>
    <xf numFmtId="0" fontId="4" fillId="3" borderId="0" xfId="0" applyFont="1" applyFill="1" applyBorder="1" applyAlignment="1" applyProtection="1">
      <alignment/>
      <protection locked="0"/>
    </xf>
    <xf numFmtId="0" fontId="0" fillId="3" borderId="73" xfId="0" applyFont="1" applyFill="1" applyBorder="1" applyAlignment="1" applyProtection="1">
      <alignment/>
      <protection locked="0"/>
    </xf>
    <xf numFmtId="0" fontId="0" fillId="3" borderId="75" xfId="0" applyFont="1" applyFill="1" applyBorder="1" applyAlignment="1" applyProtection="1">
      <alignment/>
      <protection locked="0"/>
    </xf>
    <xf numFmtId="0" fontId="24" fillId="3" borderId="72" xfId="0" applyFont="1" applyFill="1" applyBorder="1" applyAlignment="1" applyProtection="1">
      <alignment horizontal="left"/>
      <protection locked="0"/>
    </xf>
    <xf numFmtId="0" fontId="45" fillId="3" borderId="88" xfId="0" applyFont="1" applyFill="1" applyBorder="1" applyAlignment="1" applyProtection="1">
      <alignment/>
      <protection locked="0"/>
    </xf>
    <xf numFmtId="0" fontId="11" fillId="3" borderId="91" xfId="0" applyFont="1" applyFill="1" applyBorder="1" applyAlignment="1" applyProtection="1">
      <alignment horizontal="right" wrapText="1"/>
      <protection locked="0"/>
    </xf>
    <xf numFmtId="0" fontId="11" fillId="3" borderId="141" xfId="0" applyFont="1" applyFill="1" applyBorder="1" applyAlignment="1" applyProtection="1">
      <alignment horizontal="center" vertical="center" wrapText="1"/>
      <protection locked="0"/>
    </xf>
    <xf numFmtId="2" fontId="11" fillId="3" borderId="73" xfId="0" applyNumberFormat="1" applyFont="1" applyFill="1" applyBorder="1" applyAlignment="1" applyProtection="1">
      <alignment horizontal="center"/>
      <protection locked="0"/>
    </xf>
    <xf numFmtId="0" fontId="11" fillId="3" borderId="73" xfId="0" applyFont="1" applyFill="1" applyBorder="1" applyAlignment="1" applyProtection="1">
      <alignment horizontal="center"/>
      <protection locked="0"/>
    </xf>
    <xf numFmtId="17" fontId="11" fillId="3" borderId="88" xfId="0" applyNumberFormat="1" applyFont="1" applyFill="1" applyBorder="1" applyAlignment="1" applyProtection="1">
      <alignment/>
      <protection locked="0"/>
    </xf>
    <xf numFmtId="2" fontId="11" fillId="3" borderId="62" xfId="28" applyNumberFormat="1" applyFont="1" applyFill="1" applyBorder="1" applyAlignment="1" applyProtection="1" quotePrefix="1">
      <alignment horizontal="center"/>
      <protection locked="0"/>
    </xf>
    <xf numFmtId="17" fontId="3" fillId="3" borderId="72" xfId="0" applyNumberFormat="1" applyFont="1" applyFill="1" applyBorder="1" applyAlignment="1" applyProtection="1">
      <alignment/>
      <protection locked="0"/>
    </xf>
    <xf numFmtId="0" fontId="62" fillId="3" borderId="0" xfId="0" applyFont="1" applyFill="1" applyBorder="1" applyAlignment="1" applyProtection="1">
      <alignment/>
      <protection locked="0"/>
    </xf>
    <xf numFmtId="0" fontId="0" fillId="3" borderId="73" xfId="0" applyFill="1" applyBorder="1" applyAlignment="1" applyProtection="1">
      <alignment horizontal="center" wrapText="1"/>
      <protection locked="0"/>
    </xf>
    <xf numFmtId="0" fontId="11" fillId="3" borderId="0" xfId="0" applyFont="1" applyFill="1" applyBorder="1" applyAlignment="1" applyProtection="1">
      <alignment/>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horizontal="left"/>
      <protection locked="0"/>
    </xf>
    <xf numFmtId="0" fontId="11" fillId="3" borderId="60" xfId="0" applyFont="1" applyFill="1" applyBorder="1" applyAlignment="1" applyProtection="1">
      <alignment horizontal="left" vertical="center" wrapText="1"/>
      <protection locked="0"/>
    </xf>
    <xf numFmtId="0" fontId="11" fillId="3" borderId="61" xfId="0" applyFont="1" applyFill="1" applyBorder="1" applyAlignment="1" applyProtection="1">
      <alignment horizontal="left" vertical="center" wrapText="1"/>
      <protection locked="0"/>
    </xf>
    <xf numFmtId="0" fontId="11" fillId="3" borderId="61" xfId="0" applyFont="1" applyFill="1" applyBorder="1" applyAlignment="1" applyProtection="1">
      <alignment/>
      <protection locked="0"/>
    </xf>
    <xf numFmtId="0" fontId="11" fillId="3" borderId="142" xfId="26" applyFont="1" applyFill="1" applyBorder="1" applyAlignment="1" applyProtection="1">
      <alignment horizontal="center" wrapText="1"/>
      <protection locked="0"/>
    </xf>
    <xf numFmtId="0" fontId="11"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wrapText="1"/>
      <protection locked="0"/>
    </xf>
    <xf numFmtId="0" fontId="3" fillId="3" borderId="0" xfId="26" applyFont="1" applyFill="1" applyBorder="1" applyAlignment="1" applyProtection="1" quotePrefix="1">
      <alignment horizontal="center" wrapText="1"/>
      <protection locked="0"/>
    </xf>
    <xf numFmtId="3" fontId="11" fillId="3" borderId="143" xfId="0" applyNumberFormat="1" applyFont="1" applyFill="1" applyBorder="1" applyAlignment="1" applyProtection="1">
      <alignment horizontal="center"/>
      <protection/>
    </xf>
    <xf numFmtId="0" fontId="3" fillId="3" borderId="0" xfId="0" applyNumberFormat="1" applyFont="1" applyFill="1" applyBorder="1" applyAlignment="1" applyProtection="1">
      <alignment horizontal="center"/>
      <protection locked="0"/>
    </xf>
    <xf numFmtId="3" fontId="11" fillId="3" borderId="101" xfId="0" applyNumberFormat="1" applyFont="1" applyFill="1" applyBorder="1" applyAlignment="1" applyProtection="1">
      <alignment horizontal="center"/>
      <protection/>
    </xf>
    <xf numFmtId="3" fontId="11" fillId="3" borderId="44" xfId="0" applyNumberFormat="1" applyFont="1" applyFill="1" applyBorder="1" applyAlignment="1" applyProtection="1">
      <alignment horizontal="center"/>
      <protection locked="0"/>
    </xf>
    <xf numFmtId="0" fontId="35" fillId="3" borderId="93"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left"/>
      <protection locked="0"/>
    </xf>
    <xf numFmtId="0" fontId="11" fillId="3" borderId="75" xfId="0" applyFont="1" applyFill="1" applyBorder="1" applyAlignment="1" applyProtection="1">
      <alignment/>
      <protection locked="0"/>
    </xf>
    <xf numFmtId="0" fontId="62" fillId="3" borderId="73" xfId="0" applyFont="1" applyFill="1" applyBorder="1" applyAlignment="1" applyProtection="1">
      <alignment/>
      <protection locked="0"/>
    </xf>
    <xf numFmtId="0" fontId="3" fillId="3" borderId="73" xfId="0" applyNumberFormat="1" applyFont="1" applyFill="1" applyBorder="1" applyAlignment="1" applyProtection="1">
      <alignment horizontal="center"/>
      <protection locked="0"/>
    </xf>
    <xf numFmtId="0" fontId="3" fillId="3" borderId="73" xfId="0" applyFont="1" applyFill="1" applyBorder="1" applyAlignment="1" applyProtection="1">
      <alignment wrapText="1"/>
      <protection locked="0"/>
    </xf>
    <xf numFmtId="17" fontId="11" fillId="3" borderId="74" xfId="0" applyNumberFormat="1" applyFont="1" applyFill="1" applyBorder="1" applyAlignment="1" applyProtection="1">
      <alignment horizontal="center"/>
      <protection locked="0"/>
    </xf>
    <xf numFmtId="0" fontId="3" fillId="3" borderId="142" xfId="26" applyFont="1" applyFill="1" applyBorder="1" applyAlignment="1" applyProtection="1">
      <alignment horizontal="center" vertical="center" wrapText="1"/>
      <protection locked="0"/>
    </xf>
    <xf numFmtId="0" fontId="3"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vertical="center" wrapText="1"/>
      <protection locked="0"/>
    </xf>
    <xf numFmtId="3" fontId="0" fillId="3" borderId="0" xfId="0" applyNumberFormat="1" applyFont="1" applyFill="1" applyBorder="1" applyAlignment="1" applyProtection="1">
      <alignment horizontal="center"/>
      <protection locked="0"/>
    </xf>
    <xf numFmtId="3" fontId="0" fillId="3" borderId="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3" fontId="0" fillId="3" borderId="0" xfId="0" applyNumberFormat="1" applyFont="1" applyFill="1" applyBorder="1" applyAlignment="1" applyProtection="1">
      <alignment horizontal="center"/>
      <protection locked="0"/>
    </xf>
    <xf numFmtId="0" fontId="0" fillId="3" borderId="0" xfId="0" applyFont="1" applyFill="1" applyAlignment="1" applyProtection="1">
      <alignment/>
      <protection locked="0"/>
    </xf>
    <xf numFmtId="10" fontId="0" fillId="3" borderId="0" xfId="0" applyNumberFormat="1" applyFont="1" applyFill="1" applyBorder="1" applyAlignment="1" applyProtection="1">
      <alignment/>
      <protection locked="0"/>
    </xf>
    <xf numFmtId="2" fontId="0" fillId="3" borderId="0" xfId="0" applyNumberFormat="1" applyFont="1" applyFill="1" applyBorder="1" applyAlignment="1" applyProtection="1">
      <alignment/>
      <protection locked="0"/>
    </xf>
    <xf numFmtId="0" fontId="0" fillId="3" borderId="0" xfId="0" applyFont="1" applyFill="1" applyBorder="1" applyAlignment="1" applyProtection="1">
      <alignment/>
      <protection locked="0"/>
    </xf>
    <xf numFmtId="3" fontId="0" fillId="3" borderId="1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0" fontId="0" fillId="3" borderId="0" xfId="0" applyNumberFormat="1" applyFont="1" applyFill="1" applyBorder="1" applyAlignment="1" applyProtection="1">
      <alignment horizontal="center"/>
      <protection locked="0"/>
    </xf>
    <xf numFmtId="3" fontId="0" fillId="3" borderId="5" xfId="0" applyNumberFormat="1" applyFont="1" applyFill="1" applyBorder="1" applyAlignment="1" applyProtection="1">
      <alignment horizontal="center"/>
      <protection/>
    </xf>
    <xf numFmtId="3" fontId="3" fillId="3" borderId="44" xfId="0" applyNumberFormat="1" applyFont="1" applyFill="1" applyBorder="1" applyAlignment="1" applyProtection="1">
      <alignment horizontal="center"/>
      <protection locked="0"/>
    </xf>
    <xf numFmtId="3" fontId="3" fillId="3" borderId="0" xfId="0" applyNumberFormat="1" applyFont="1" applyFill="1" applyBorder="1" applyAlignment="1" applyProtection="1">
      <alignment/>
      <protection locked="0"/>
    </xf>
    <xf numFmtId="0" fontId="36" fillId="3" borderId="72" xfId="0" applyFont="1" applyFill="1" applyBorder="1" applyAlignment="1" applyProtection="1">
      <alignment/>
      <protection locked="0"/>
    </xf>
    <xf numFmtId="0" fontId="3" fillId="3" borderId="93" xfId="0" applyFont="1" applyFill="1" applyBorder="1" applyAlignment="1" applyProtection="1">
      <alignment horizontal="right" wrapText="1"/>
      <protection locked="0"/>
    </xf>
    <xf numFmtId="0" fontId="62" fillId="3" borderId="0" xfId="0" applyFont="1" applyFill="1" applyBorder="1" applyAlignment="1" applyProtection="1">
      <alignment wrapText="1"/>
      <protection locked="0"/>
    </xf>
    <xf numFmtId="17" fontId="0" fillId="3" borderId="95" xfId="0" applyNumberFormat="1" applyFont="1" applyFill="1" applyBorder="1" applyAlignment="1" applyProtection="1">
      <alignment/>
      <protection locked="0"/>
    </xf>
    <xf numFmtId="0" fontId="61" fillId="3" borderId="0" xfId="0" applyFont="1" applyFill="1" applyBorder="1" applyAlignment="1" applyProtection="1">
      <alignment wrapText="1"/>
      <protection locked="0"/>
    </xf>
    <xf numFmtId="0" fontId="0" fillId="3" borderId="73" xfId="0" applyFill="1" applyBorder="1" applyAlignment="1" applyProtection="1">
      <alignment/>
      <protection locked="0"/>
    </xf>
    <xf numFmtId="0" fontId="0" fillId="3" borderId="0" xfId="0" applyFont="1" applyFill="1" applyBorder="1" applyAlignment="1" applyProtection="1">
      <alignment wrapText="1"/>
      <protection locked="0"/>
    </xf>
    <xf numFmtId="0" fontId="0" fillId="3" borderId="73" xfId="0" applyNumberFormat="1" applyFont="1" applyFill="1" applyBorder="1" applyAlignment="1" applyProtection="1">
      <alignment horizontal="center"/>
      <protection locked="0"/>
    </xf>
    <xf numFmtId="3" fontId="0" fillId="3" borderId="73" xfId="0" applyNumberFormat="1" applyFont="1" applyFill="1" applyBorder="1" applyAlignment="1" applyProtection="1">
      <alignment horizontal="center"/>
      <protection locked="0"/>
    </xf>
    <xf numFmtId="17" fontId="3" fillId="3" borderId="74" xfId="0" applyNumberFormat="1" applyFont="1" applyFill="1" applyBorder="1" applyAlignment="1" applyProtection="1">
      <alignment horizontal="center"/>
      <protection locked="0"/>
    </xf>
    <xf numFmtId="1" fontId="3" fillId="3" borderId="73" xfId="0" applyNumberFormat="1" applyFont="1" applyFill="1" applyBorder="1" applyAlignment="1" applyProtection="1">
      <alignment horizontal="center"/>
      <protection locked="0"/>
    </xf>
    <xf numFmtId="0" fontId="0" fillId="0" borderId="144" xfId="0" applyBorder="1" applyAlignment="1">
      <alignment wrapText="1"/>
    </xf>
    <xf numFmtId="0" fontId="0" fillId="0" borderId="145" xfId="0" applyBorder="1" applyAlignment="1">
      <alignment wrapText="1"/>
    </xf>
    <xf numFmtId="49" fontId="36" fillId="0" borderId="146" xfId="0" applyNumberFormat="1" applyFont="1" applyBorder="1" applyAlignment="1">
      <alignment horizontal="left" wrapText="1"/>
    </xf>
    <xf numFmtId="0" fontId="0" fillId="0" borderId="146" xfId="0" applyBorder="1" applyAlignment="1">
      <alignment wrapText="1"/>
    </xf>
    <xf numFmtId="0" fontId="35" fillId="0" borderId="146" xfId="0" applyFont="1" applyBorder="1" applyAlignment="1">
      <alignment wrapText="1"/>
    </xf>
    <xf numFmtId="0" fontId="11" fillId="0" borderId="146" xfId="0" applyFont="1" applyBorder="1" applyAlignment="1">
      <alignment wrapText="1"/>
    </xf>
    <xf numFmtId="0" fontId="36" fillId="0" borderId="146" xfId="0" applyFont="1" applyBorder="1" applyAlignment="1">
      <alignment wrapText="1"/>
    </xf>
    <xf numFmtId="0" fontId="11" fillId="0" borderId="145" xfId="0" applyFont="1" applyBorder="1" applyAlignment="1">
      <alignment wrapText="1"/>
    </xf>
    <xf numFmtId="0" fontId="11" fillId="0" borderId="145" xfId="0" applyNumberFormat="1" applyFont="1" applyBorder="1" applyAlignment="1">
      <alignment wrapText="1"/>
    </xf>
    <xf numFmtId="0" fontId="36" fillId="0" borderId="145" xfId="0" applyFont="1" applyBorder="1" applyAlignment="1">
      <alignment wrapText="1"/>
    </xf>
    <xf numFmtId="0" fontId="11" fillId="0" borderId="147" xfId="0" applyFont="1" applyBorder="1" applyAlignment="1">
      <alignment wrapText="1"/>
    </xf>
    <xf numFmtId="0" fontId="67" fillId="0" borderId="147" xfId="23" applyFont="1" applyBorder="1" applyAlignment="1">
      <alignment wrapText="1"/>
    </xf>
    <xf numFmtId="0" fontId="36" fillId="0" borderId="145" xfId="0" applyFont="1" applyBorder="1" applyAlignment="1">
      <alignment wrapText="1"/>
    </xf>
    <xf numFmtId="0" fontId="70" fillId="0" borderId="145" xfId="23" applyFont="1" applyBorder="1" applyAlignment="1">
      <alignment wrapText="1"/>
    </xf>
    <xf numFmtId="0" fontId="0" fillId="0" borderId="147" xfId="0" applyBorder="1" applyAlignment="1">
      <alignment wrapText="1"/>
    </xf>
    <xf numFmtId="0" fontId="0" fillId="0" borderId="148" xfId="0" applyBorder="1" applyAlignment="1">
      <alignment wrapText="1"/>
    </xf>
    <xf numFmtId="0" fontId="0" fillId="0" borderId="149" xfId="0" applyBorder="1" applyAlignment="1">
      <alignment wrapText="1"/>
    </xf>
    <xf numFmtId="0" fontId="57" fillId="0" borderId="146" xfId="0" applyFont="1" applyBorder="1" applyAlignment="1">
      <alignment wrapText="1"/>
    </xf>
    <xf numFmtId="0" fontId="0" fillId="0" borderId="0" xfId="0" applyAlignment="1">
      <alignment/>
    </xf>
    <xf numFmtId="0" fontId="11" fillId="3" borderId="62" xfId="0" applyFont="1" applyFill="1" applyBorder="1" applyAlignment="1" applyProtection="1">
      <alignment horizontal="center" vertical="center" wrapText="1"/>
      <protection locked="0"/>
    </xf>
    <xf numFmtId="17" fontId="11" fillId="3" borderId="100" xfId="0" applyNumberFormat="1" applyFont="1" applyFill="1" applyBorder="1" applyAlignment="1" applyProtection="1">
      <alignment horizontal="center"/>
      <protection locked="0"/>
    </xf>
    <xf numFmtId="0" fontId="36" fillId="3" borderId="0" xfId="0" applyFont="1" applyFill="1" applyBorder="1" applyAlignment="1" applyProtection="1">
      <alignment horizontal="left" vertical="center" wrapText="1"/>
      <protection locked="0"/>
    </xf>
    <xf numFmtId="0" fontId="36" fillId="3" borderId="73" xfId="0" applyFont="1" applyFill="1" applyBorder="1" applyAlignment="1" applyProtection="1">
      <alignment horizontal="left" vertical="center" wrapText="1"/>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73" xfId="0" applyFont="1" applyFill="1" applyBorder="1" applyAlignment="1" applyProtection="1">
      <alignment horizontal="left" vertical="center" wrapText="1"/>
      <protection locked="0"/>
    </xf>
    <xf numFmtId="3" fontId="11" fillId="3" borderId="99" xfId="0" applyNumberFormat="1" applyFont="1" applyFill="1" applyBorder="1" applyAlignment="1" applyProtection="1">
      <alignment horizontal="center" vertical="center"/>
      <protection locked="0"/>
    </xf>
    <xf numFmtId="0" fontId="11" fillId="3" borderId="73" xfId="0" applyFont="1" applyFill="1" applyBorder="1" applyAlignment="1" applyProtection="1">
      <alignment/>
      <protection locked="0"/>
    </xf>
    <xf numFmtId="0" fontId="11" fillId="3" borderId="150" xfId="0" applyFont="1" applyFill="1" applyBorder="1" applyAlignment="1" applyProtection="1">
      <alignment horizontal="center" vertical="center" wrapText="1"/>
      <protection locked="0"/>
    </xf>
    <xf numFmtId="0" fontId="36" fillId="3" borderId="59" xfId="0" applyFont="1" applyFill="1" applyBorder="1" applyAlignment="1" applyProtection="1">
      <alignment horizontal="left" vertical="center" wrapText="1"/>
      <protection locked="0"/>
    </xf>
    <xf numFmtId="0" fontId="11" fillId="3" borderId="75" xfId="0" applyFont="1" applyFill="1" applyBorder="1" applyAlignment="1" applyProtection="1">
      <alignment vertical="top" wrapText="1"/>
      <protection locked="0"/>
    </xf>
    <xf numFmtId="0" fontId="5" fillId="3" borderId="89" xfId="0" applyFont="1" applyFill="1" applyBorder="1" applyAlignment="1" applyProtection="1">
      <alignment horizontal="center" vertical="center"/>
      <protection locked="0"/>
    </xf>
    <xf numFmtId="0" fontId="5" fillId="3" borderId="136" xfId="0" applyFont="1" applyFill="1" applyBorder="1" applyAlignment="1" applyProtection="1">
      <alignment horizontal="center" vertical="center"/>
      <protection locked="0"/>
    </xf>
    <xf numFmtId="0" fontId="5" fillId="3" borderId="151" xfId="0" applyFont="1" applyFill="1" applyBorder="1" applyAlignment="1" applyProtection="1">
      <alignment horizontal="center" vertical="center"/>
      <protection locked="0"/>
    </xf>
    <xf numFmtId="0" fontId="11" fillId="3" borderId="152" xfId="0" applyFont="1" applyFill="1" applyBorder="1" applyAlignment="1" applyProtection="1">
      <alignment horizontal="center" vertical="center" wrapText="1"/>
      <protection locked="0"/>
    </xf>
    <xf numFmtId="0" fontId="11" fillId="3" borderId="153"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0" fillId="3" borderId="41" xfId="0" applyFont="1" applyFill="1" applyBorder="1" applyAlignment="1">
      <alignment horizontal="left" vertical="center" wrapText="1"/>
    </xf>
    <xf numFmtId="0" fontId="0" fillId="3" borderId="57" xfId="0" applyFont="1" applyFill="1" applyBorder="1" applyAlignment="1">
      <alignment horizontal="left" vertical="center" wrapText="1"/>
    </xf>
    <xf numFmtId="0" fontId="0" fillId="3" borderId="58" xfId="0" applyFont="1" applyFill="1" applyBorder="1" applyAlignment="1">
      <alignment horizontal="left" vertical="center" wrapText="1"/>
    </xf>
    <xf numFmtId="0" fontId="0" fillId="3" borderId="154" xfId="0" applyFont="1" applyFill="1" applyBorder="1" applyAlignment="1">
      <alignment horizontal="left" vertical="center" wrapText="1"/>
    </xf>
    <xf numFmtId="0" fontId="0" fillId="3" borderId="59"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38" xfId="0" applyFont="1" applyFill="1" applyBorder="1" applyAlignment="1">
      <alignment horizontal="left" vertical="center" wrapText="1"/>
    </xf>
    <xf numFmtId="0" fontId="0" fillId="3" borderId="60" xfId="0" applyFont="1" applyFill="1" applyBorder="1" applyAlignment="1">
      <alignment horizontal="left" vertical="center" wrapText="1"/>
    </xf>
    <xf numFmtId="0" fontId="0" fillId="3" borderId="61" xfId="0" applyFont="1" applyFill="1" applyBorder="1" applyAlignment="1">
      <alignment horizontal="left" vertical="center" wrapText="1"/>
    </xf>
    <xf numFmtId="0" fontId="0" fillId="3" borderId="155" xfId="0" applyFont="1" applyFill="1" applyBorder="1" applyAlignment="1">
      <alignment horizontal="left" vertical="center" wrapText="1"/>
    </xf>
    <xf numFmtId="0" fontId="57" fillId="3" borderId="0" xfId="0" applyFont="1" applyFill="1" applyAlignment="1">
      <alignment horizontal="center"/>
    </xf>
    <xf numFmtId="0" fontId="52" fillId="3" borderId="41" xfId="0" applyFont="1" applyFill="1" applyBorder="1" applyAlignment="1">
      <alignment horizontal="left" vertical="center" wrapText="1"/>
    </xf>
    <xf numFmtId="0" fontId="0" fillId="3" borderId="41" xfId="0" applyFont="1" applyFill="1" applyBorder="1" applyAlignment="1">
      <alignment vertical="center" wrapText="1"/>
    </xf>
    <xf numFmtId="0" fontId="0" fillId="3" borderId="41" xfId="0" applyFont="1" applyFill="1" applyBorder="1" applyAlignment="1">
      <alignment wrapText="1"/>
    </xf>
    <xf numFmtId="0" fontId="11" fillId="3" borderId="101" xfId="0" applyFont="1" applyFill="1" applyBorder="1" applyAlignment="1" applyProtection="1">
      <alignment horizontal="justify" vertical="center" wrapText="1"/>
      <protection locked="0"/>
    </xf>
    <xf numFmtId="0" fontId="11" fillId="3" borderId="101" xfId="0" applyFont="1" applyFill="1" applyBorder="1" applyAlignment="1" applyProtection="1">
      <alignment horizontal="justify" vertical="center"/>
      <protection locked="0"/>
    </xf>
    <xf numFmtId="0" fontId="11" fillId="3" borderId="126" xfId="0" applyFont="1" applyFill="1" applyBorder="1" applyAlignment="1" applyProtection="1">
      <alignment horizontal="justify" vertic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17" fontId="11" fillId="3" borderId="126"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vertical="center"/>
      <protection locked="0"/>
    </xf>
    <xf numFmtId="3" fontId="11" fillId="3" borderId="77" xfId="0" applyNumberFormat="1" applyFont="1" applyFill="1" applyBorder="1" applyAlignment="1" applyProtection="1">
      <alignment horizontal="center" vertical="center"/>
      <protection locked="0"/>
    </xf>
    <xf numFmtId="0" fontId="11" fillId="3" borderId="102" xfId="0" applyFont="1" applyFill="1" applyBorder="1" applyAlignment="1" applyProtection="1">
      <alignment horizontal="center" vertical="center"/>
      <protection locked="0"/>
    </xf>
    <xf numFmtId="0" fontId="11" fillId="3" borderId="62" xfId="0" applyFont="1" applyFill="1" applyBorder="1" applyAlignment="1" applyProtection="1">
      <alignment/>
      <protection locked="0"/>
    </xf>
    <xf numFmtId="0" fontId="3" fillId="3" borderId="71" xfId="0" applyFont="1" applyFill="1" applyBorder="1" applyAlignment="1" applyProtection="1">
      <alignment horizontal="center"/>
      <protection locked="0"/>
    </xf>
    <xf numFmtId="0" fontId="3" fillId="3" borderId="73" xfId="0" applyFont="1" applyFill="1" applyBorder="1" applyAlignment="1" applyProtection="1">
      <alignment horizont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3"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0" fontId="11" fillId="3" borderId="100"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36" fillId="3" borderId="89" xfId="0" applyFont="1" applyFill="1" applyBorder="1" applyAlignment="1" applyProtection="1">
      <alignment horizontal="center"/>
      <protection locked="0"/>
    </xf>
    <xf numFmtId="0" fontId="36" fillId="3" borderId="136" xfId="0" applyFont="1" applyFill="1" applyBorder="1" applyAlignment="1" applyProtection="1">
      <alignment horizontal="center"/>
      <protection locked="0"/>
    </xf>
    <xf numFmtId="0" fontId="36" fillId="3" borderId="151" xfId="0" applyFont="1" applyFill="1" applyBorder="1" applyAlignment="1" applyProtection="1">
      <alignment horizontal="center"/>
      <protection locked="0"/>
    </xf>
    <xf numFmtId="0" fontId="36" fillId="3" borderId="41" xfId="0" applyFont="1" applyFill="1" applyBorder="1" applyAlignment="1" applyProtection="1">
      <alignment horizontal="center"/>
      <protection locked="0"/>
    </xf>
    <xf numFmtId="0" fontId="11" fillId="3" borderId="41" xfId="0" applyFont="1" applyFill="1" applyBorder="1" applyAlignment="1" applyProtection="1">
      <alignment horizontal="center" vertical="center" wrapText="1"/>
      <protection locked="0"/>
    </xf>
    <xf numFmtId="0" fontId="11" fillId="3" borderId="59" xfId="0" applyNumberFormat="1" applyFont="1" applyFill="1" applyBorder="1" applyAlignment="1" applyProtection="1">
      <alignment horizontal="left" vertical="top" wrapText="1"/>
      <protection locked="0"/>
    </xf>
    <xf numFmtId="0" fontId="11" fillId="3" borderId="0" xfId="0" applyNumberFormat="1" applyFont="1" applyFill="1" applyBorder="1" applyAlignment="1" applyProtection="1">
      <alignment horizontal="left" vertical="top" wrapText="1"/>
      <protection locked="0"/>
    </xf>
    <xf numFmtId="0" fontId="11" fillId="3" borderId="73" xfId="0" applyNumberFormat="1" applyFont="1" applyFill="1" applyBorder="1" applyAlignment="1" applyProtection="1">
      <alignment horizontal="left" vertical="top" wrapText="1"/>
      <protection locked="0"/>
    </xf>
    <xf numFmtId="0" fontId="11" fillId="3" borderId="60" xfId="0" applyNumberFormat="1" applyFont="1" applyFill="1" applyBorder="1" applyAlignment="1" applyProtection="1">
      <alignment horizontal="left" vertical="top" wrapText="1"/>
      <protection locked="0"/>
    </xf>
    <xf numFmtId="0" fontId="11" fillId="3" borderId="61" xfId="0" applyNumberFormat="1" applyFont="1" applyFill="1" applyBorder="1" applyAlignment="1" applyProtection="1">
      <alignment horizontal="left" vertical="top" wrapText="1"/>
      <protection locked="0"/>
    </xf>
    <xf numFmtId="0" fontId="11" fillId="3" borderId="75" xfId="0" applyNumberFormat="1" applyFont="1" applyFill="1" applyBorder="1" applyAlignment="1" applyProtection="1">
      <alignment horizontal="left" vertical="top" wrapText="1"/>
      <protection locked="0"/>
    </xf>
    <xf numFmtId="0" fontId="3" fillId="3" borderId="59"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11" fillId="3" borderId="5"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11" fillId="3" borderId="99" xfId="0" applyFont="1" applyFill="1" applyBorder="1" applyAlignment="1" applyProtection="1">
      <alignment horizontal="left" wrapText="1"/>
      <protection locked="0"/>
    </xf>
    <xf numFmtId="0" fontId="11" fillId="3" borderId="1" xfId="0" applyFont="1" applyFill="1" applyBorder="1" applyAlignment="1" applyProtection="1">
      <alignment horizontal="left" wrapText="1"/>
      <protection locked="0"/>
    </xf>
    <xf numFmtId="0" fontId="11" fillId="3" borderId="102" xfId="0" applyFont="1" applyFill="1" applyBorder="1" applyAlignment="1" applyProtection="1">
      <alignment horizontal="left"/>
      <protection locked="0"/>
    </xf>
    <xf numFmtId="0" fontId="11" fillId="3" borderId="90" xfId="0" applyFont="1" applyFill="1" applyBorder="1" applyAlignment="1" applyProtection="1">
      <alignment horizontal="left"/>
      <protection locked="0"/>
    </xf>
    <xf numFmtId="0" fontId="11" fillId="3" borderId="97" xfId="0" applyFont="1" applyFill="1" applyBorder="1" applyAlignment="1" applyProtection="1">
      <alignment horizontal="left" wrapText="1"/>
      <protection locked="0"/>
    </xf>
    <xf numFmtId="0" fontId="11" fillId="3" borderId="98" xfId="0" applyFont="1" applyFill="1" applyBorder="1" applyAlignment="1" applyProtection="1">
      <alignment horizontal="left" wrapText="1"/>
      <protection locked="0"/>
    </xf>
    <xf numFmtId="0" fontId="11" fillId="3" borderId="87" xfId="0" applyFont="1" applyFill="1" applyBorder="1" applyAlignment="1" applyProtection="1">
      <alignment horizontal="center" vertical="center" wrapText="1"/>
      <protection locked="0"/>
    </xf>
    <xf numFmtId="0" fontId="11" fillId="3" borderId="88" xfId="0" applyFont="1" applyFill="1" applyBorder="1" applyAlignment="1" applyProtection="1">
      <alignment horizontal="center" vertical="center" wrapText="1"/>
      <protection locked="0"/>
    </xf>
    <xf numFmtId="0" fontId="11" fillId="3" borderId="156" xfId="0" applyFont="1" applyFill="1" applyBorder="1" applyAlignment="1" applyProtection="1">
      <alignment horizontal="center" vertical="center" wrapText="1"/>
      <protection locked="0"/>
    </xf>
    <xf numFmtId="0" fontId="11" fillId="3" borderId="84" xfId="0" applyFont="1" applyFill="1" applyBorder="1" applyAlignment="1" applyProtection="1">
      <alignment horizontal="center" vertical="center" wrapText="1"/>
      <protection locked="0"/>
    </xf>
    <xf numFmtId="0" fontId="11" fillId="3" borderId="87" xfId="0" applyFont="1" applyFill="1" applyBorder="1" applyAlignment="1" applyProtection="1">
      <alignment horizontal="center" vertical="center"/>
      <protection locked="0"/>
    </xf>
    <xf numFmtId="0" fontId="11" fillId="3" borderId="85" xfId="0" applyFont="1" applyFill="1" applyBorder="1" applyAlignment="1" applyProtection="1">
      <alignment horizontal="center" vertical="center"/>
      <protection locked="0"/>
    </xf>
    <xf numFmtId="0" fontId="11" fillId="3" borderId="100" xfId="0" applyFont="1" applyFill="1" applyBorder="1" applyAlignment="1" applyProtection="1">
      <alignment horizontal="center"/>
      <protection locked="0"/>
    </xf>
    <xf numFmtId="0" fontId="11" fillId="3" borderId="11" xfId="0" applyFont="1" applyFill="1" applyBorder="1" applyAlignment="1" applyProtection="1">
      <alignment horizontal="center"/>
      <protection locked="0"/>
    </xf>
    <xf numFmtId="0" fontId="11" fillId="3" borderId="97" xfId="0" applyFont="1" applyFill="1" applyBorder="1" applyAlignment="1" applyProtection="1">
      <alignment horizontal="left"/>
      <protection locked="0"/>
    </xf>
    <xf numFmtId="0" fontId="11" fillId="3" borderId="98" xfId="0" applyFont="1" applyFill="1" applyBorder="1" applyAlignment="1" applyProtection="1">
      <alignment horizontal="left"/>
      <protection locked="0"/>
    </xf>
    <xf numFmtId="0" fontId="41" fillId="3" borderId="100" xfId="0" applyFont="1" applyFill="1" applyBorder="1" applyAlignment="1" applyProtection="1">
      <alignment horizontal="left"/>
      <protection locked="0"/>
    </xf>
    <xf numFmtId="0" fontId="41" fillId="3" borderId="11" xfId="0" applyFont="1" applyFill="1" applyBorder="1" applyAlignment="1" applyProtection="1">
      <alignment horizontal="left"/>
      <protection locked="0"/>
    </xf>
    <xf numFmtId="0" fontId="36" fillId="3" borderId="100" xfId="24" applyFont="1" applyFill="1" applyBorder="1" applyAlignment="1" applyProtection="1">
      <alignment horizontal="center"/>
      <protection locked="0"/>
    </xf>
    <xf numFmtId="0" fontId="36" fillId="3" borderId="101" xfId="24" applyFont="1" applyFill="1" applyBorder="1" applyAlignment="1" applyProtection="1">
      <alignment/>
      <protection locked="0"/>
    </xf>
    <xf numFmtId="0" fontId="36" fillId="3" borderId="11" xfId="24" applyFont="1" applyFill="1" applyBorder="1" applyAlignment="1" applyProtection="1">
      <alignment/>
      <protection locked="0"/>
    </xf>
    <xf numFmtId="0" fontId="36" fillId="3" borderId="11" xfId="24" applyFont="1" applyFill="1" applyBorder="1" applyAlignment="1" applyProtection="1">
      <alignment horizontal="center"/>
      <protection locked="0"/>
    </xf>
    <xf numFmtId="0" fontId="36" fillId="3" borderId="84" xfId="28" applyFont="1" applyFill="1" applyBorder="1" applyAlignment="1" applyProtection="1">
      <alignment horizontal="center" vertical="center" wrapText="1"/>
      <protection locked="0"/>
    </xf>
    <xf numFmtId="0" fontId="36" fillId="3" borderId="88" xfId="28" applyFont="1" applyFill="1" applyBorder="1" applyAlignment="1" applyProtection="1">
      <alignment horizontal="center" vertical="center" wrapText="1"/>
      <protection locked="0"/>
    </xf>
    <xf numFmtId="0" fontId="36" fillId="3" borderId="100" xfId="28" applyFont="1" applyFill="1" applyBorder="1" applyAlignment="1" applyProtection="1">
      <alignment horizontal="center"/>
      <protection locked="0"/>
    </xf>
    <xf numFmtId="0" fontId="36" fillId="3" borderId="101" xfId="28" applyFont="1" applyFill="1" applyBorder="1" applyAlignment="1" applyProtection="1">
      <alignment/>
      <protection locked="0"/>
    </xf>
    <xf numFmtId="0" fontId="36" fillId="3" borderId="11" xfId="28" applyFont="1" applyFill="1" applyBorder="1" applyAlignment="1" applyProtection="1">
      <alignment/>
      <protection locked="0"/>
    </xf>
    <xf numFmtId="0" fontId="36" fillId="3" borderId="11" xfId="28" applyFont="1" applyFill="1" applyBorder="1" applyAlignment="1" applyProtection="1">
      <alignment horizontal="center"/>
      <protection locked="0"/>
    </xf>
    <xf numFmtId="0" fontId="11" fillId="3" borderId="157" xfId="28" applyFont="1" applyFill="1" applyBorder="1" applyAlignment="1" applyProtection="1">
      <alignment horizontal="left" vertical="center" wrapText="1"/>
      <protection locked="0"/>
    </xf>
    <xf numFmtId="0" fontId="11" fillId="3" borderId="158" xfId="28" applyFont="1" applyFill="1" applyBorder="1" applyAlignment="1" applyProtection="1">
      <alignment horizontal="left" vertical="center" wrapText="1"/>
      <protection locked="0"/>
    </xf>
    <xf numFmtId="0" fontId="11" fillId="3" borderId="159" xfId="28" applyFont="1" applyFill="1" applyBorder="1" applyAlignment="1" applyProtection="1">
      <alignment horizontal="left" vertical="center" wrapText="1"/>
      <protection locked="0"/>
    </xf>
    <xf numFmtId="0" fontId="36" fillId="3" borderId="89" xfId="28" applyFont="1" applyFill="1" applyBorder="1" applyAlignment="1" applyProtection="1">
      <alignment horizontal="center"/>
      <protection locked="0"/>
    </xf>
    <xf numFmtId="0" fontId="36" fillId="3" borderId="136" xfId="28" applyFont="1" applyFill="1" applyBorder="1" applyAlignment="1" applyProtection="1">
      <alignment horizontal="center"/>
      <protection locked="0"/>
    </xf>
    <xf numFmtId="0" fontId="36" fillId="3" borderId="151" xfId="28" applyFont="1" applyFill="1" applyBorder="1" applyAlignment="1" applyProtection="1">
      <alignment horizontal="center"/>
      <protection locked="0"/>
    </xf>
    <xf numFmtId="0" fontId="36" fillId="3" borderId="59" xfId="24" applyFont="1" applyFill="1" applyBorder="1" applyAlignment="1" applyProtection="1">
      <alignment horizontal="left" vertical="center" wrapText="1"/>
      <protection locked="0"/>
    </xf>
    <xf numFmtId="0" fontId="36" fillId="3" borderId="0" xfId="24" applyFont="1" applyFill="1" applyBorder="1" applyAlignment="1" applyProtection="1">
      <alignment horizontal="left" vertical="center" wrapText="1"/>
      <protection locked="0"/>
    </xf>
    <xf numFmtId="0" fontId="36" fillId="3" borderId="73" xfId="24" applyFont="1" applyFill="1" applyBorder="1" applyAlignment="1" applyProtection="1">
      <alignment horizontal="left" vertical="center" wrapText="1"/>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60" xfId="28" applyFont="1" applyFill="1" applyBorder="1" applyAlignment="1" applyProtection="1">
      <alignment horizontal="left" vertical="top" wrapText="1"/>
      <protection locked="0"/>
    </xf>
    <xf numFmtId="0" fontId="11" fillId="3" borderId="61" xfId="28" applyFont="1" applyFill="1" applyBorder="1" applyAlignment="1" applyProtection="1">
      <alignment horizontal="left" vertical="top" wrapText="1"/>
      <protection locked="0"/>
    </xf>
    <xf numFmtId="0" fontId="11" fillId="3" borderId="75" xfId="28" applyFont="1" applyFill="1" applyBorder="1" applyAlignment="1" applyProtection="1">
      <alignment horizontal="left" vertical="top" wrapText="1"/>
      <protection locked="0"/>
    </xf>
    <xf numFmtId="0" fontId="11" fillId="3" borderId="72"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59" xfId="0" applyFont="1" applyFill="1" applyBorder="1" applyAlignment="1" applyProtection="1">
      <alignment vertical="center" wrapText="1"/>
      <protection locked="0"/>
    </xf>
    <xf numFmtId="0" fontId="11" fillId="3" borderId="73" xfId="0" applyFont="1" applyFill="1" applyBorder="1" applyAlignment="1" applyProtection="1">
      <alignment vertical="center" wrapText="1"/>
      <protection locked="0"/>
    </xf>
    <xf numFmtId="0" fontId="0" fillId="3" borderId="59" xfId="0" applyFill="1" applyBorder="1" applyAlignment="1" applyProtection="1">
      <alignment vertical="center"/>
      <protection locked="0"/>
    </xf>
    <xf numFmtId="0" fontId="0" fillId="3" borderId="73" xfId="0" applyFill="1" applyBorder="1" applyAlignment="1" applyProtection="1">
      <alignment vertical="center"/>
      <protection locked="0"/>
    </xf>
    <xf numFmtId="0" fontId="0" fillId="3" borderId="60" xfId="0" applyFill="1" applyBorder="1" applyAlignment="1" applyProtection="1">
      <alignment vertical="center"/>
      <protection locked="0"/>
    </xf>
    <xf numFmtId="0" fontId="0" fillId="3" borderId="75" xfId="0" applyFill="1" applyBorder="1" applyAlignment="1" applyProtection="1">
      <alignment vertical="center"/>
      <protection locked="0"/>
    </xf>
    <xf numFmtId="0" fontId="11" fillId="3" borderId="7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36" fillId="3" borderId="157" xfId="0" applyFont="1" applyFill="1" applyBorder="1" applyAlignment="1" applyProtection="1">
      <alignment horizontal="center"/>
      <protection locked="0"/>
    </xf>
    <xf numFmtId="0" fontId="36" fillId="3" borderId="158" xfId="0" applyFont="1" applyFill="1" applyBorder="1" applyAlignment="1" applyProtection="1">
      <alignment horizontal="center"/>
      <protection locked="0"/>
    </xf>
    <xf numFmtId="0" fontId="11" fillId="3" borderId="158" xfId="0" applyFont="1" applyFill="1" applyBorder="1" applyAlignment="1" applyProtection="1">
      <alignment/>
      <protection locked="0"/>
    </xf>
    <xf numFmtId="0" fontId="11" fillId="3" borderId="127" xfId="0" applyFont="1" applyFill="1" applyBorder="1" applyAlignment="1" applyProtection="1">
      <alignment/>
      <protection locked="0"/>
    </xf>
    <xf numFmtId="0" fontId="11" fillId="3" borderId="158" xfId="0" applyFont="1" applyFill="1" applyBorder="1" applyAlignment="1" applyProtection="1">
      <alignment horizontal="justify" vertical="center" wrapText="1"/>
      <protection locked="0"/>
    </xf>
    <xf numFmtId="0" fontId="11" fillId="3" borderId="158" xfId="0" applyFont="1" applyFill="1" applyBorder="1" applyAlignment="1" applyProtection="1">
      <alignment vertical="center"/>
      <protection locked="0"/>
    </xf>
    <xf numFmtId="0" fontId="11" fillId="3" borderId="159" xfId="0" applyFont="1" applyFill="1" applyBorder="1" applyAlignment="1" applyProtection="1">
      <alignment vertical="center"/>
      <protection locked="0"/>
    </xf>
    <xf numFmtId="0" fontId="36" fillId="3" borderId="127" xfId="0" applyFont="1" applyFill="1" applyBorder="1" applyAlignment="1" applyProtection="1">
      <alignment horizontal="center"/>
      <protection locked="0"/>
    </xf>
    <xf numFmtId="0" fontId="36" fillId="3" borderId="159" xfId="0" applyFont="1" applyFill="1" applyBorder="1" applyAlignment="1" applyProtection="1">
      <alignment horizontal="center"/>
      <protection locked="0"/>
    </xf>
    <xf numFmtId="0" fontId="11" fillId="3" borderId="0" xfId="0" applyFont="1" applyFill="1" applyBorder="1" applyAlignment="1" applyProtection="1">
      <alignment horizontal="left" vertical="top" wrapText="1"/>
      <protection locked="0"/>
    </xf>
    <xf numFmtId="0" fontId="11" fillId="3" borderId="73" xfId="0" applyFont="1" applyFill="1" applyBorder="1" applyAlignment="1" applyProtection="1">
      <alignment horizontal="left" vertical="top" wrapText="1"/>
      <protection locked="0"/>
    </xf>
    <xf numFmtId="0" fontId="11" fillId="3" borderId="72" xfId="0" applyFont="1" applyFill="1" applyBorder="1" applyAlignment="1" applyProtection="1">
      <alignment horizontal="left" vertical="top" wrapText="1"/>
      <protection locked="0"/>
    </xf>
    <xf numFmtId="0" fontId="11" fillId="3" borderId="59" xfId="0" applyFont="1" applyFill="1" applyBorder="1" applyAlignment="1" applyProtection="1">
      <alignment horizontal="left" wrapText="1"/>
      <protection locked="0"/>
    </xf>
    <xf numFmtId="0" fontId="11" fillId="3" borderId="0" xfId="0" applyFont="1" applyFill="1" applyBorder="1" applyAlignment="1" applyProtection="1">
      <alignment horizontal="left" wrapText="1"/>
      <protection locked="0"/>
    </xf>
    <xf numFmtId="0" fontId="11" fillId="3" borderId="73" xfId="0" applyFont="1" applyFill="1" applyBorder="1" applyAlignment="1" applyProtection="1">
      <alignment horizontal="left" wrapText="1"/>
      <protection locked="0"/>
    </xf>
    <xf numFmtId="0" fontId="16" fillId="3" borderId="158" xfId="0" applyFont="1" applyFill="1" applyBorder="1" applyAlignment="1" applyProtection="1">
      <alignment horizontal="left" vertical="center" wrapText="1"/>
      <protection locked="0"/>
    </xf>
    <xf numFmtId="0" fontId="16" fillId="3" borderId="159" xfId="0" applyFont="1" applyFill="1" applyBorder="1" applyAlignment="1" applyProtection="1">
      <alignment horizontal="left" vertical="center" wrapText="1"/>
      <protection locked="0"/>
    </xf>
    <xf numFmtId="0" fontId="11" fillId="3" borderId="158" xfId="0" applyFont="1" applyFill="1" applyBorder="1" applyAlignment="1" applyProtection="1">
      <alignment horizontal="left" vertical="center" wrapText="1"/>
      <protection locked="0"/>
    </xf>
    <xf numFmtId="0" fontId="11" fillId="3" borderId="159" xfId="0" applyFont="1" applyFill="1" applyBorder="1" applyAlignment="1" applyProtection="1">
      <alignment horizontal="left" vertical="center" wrapText="1"/>
      <protection locked="0"/>
    </xf>
    <xf numFmtId="0" fontId="3" fillId="2" borderId="1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6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8" xfId="0" applyFont="1" applyFill="1" applyBorder="1" applyAlignment="1">
      <alignment horizontal="center" vertical="center" wrapText="1"/>
    </xf>
    <xf numFmtId="2" fontId="11" fillId="3" borderId="161" xfId="24" applyNumberFormat="1" applyFont="1" applyFill="1" applyBorder="1" applyAlignment="1" applyProtection="1">
      <alignment horizontal="center" vertical="center"/>
      <protection locked="0"/>
    </xf>
    <xf numFmtId="2" fontId="11" fillId="3" borderId="162" xfId="24" applyNumberFormat="1" applyFont="1" applyFill="1" applyBorder="1" applyAlignment="1" applyProtection="1">
      <alignment horizontal="center" vertical="center"/>
      <protection locked="0"/>
    </xf>
    <xf numFmtId="2" fontId="11" fillId="3" borderId="123" xfId="24" applyNumberFormat="1" applyFont="1" applyFill="1" applyBorder="1" applyAlignment="1" applyProtection="1">
      <alignment horizontal="center" vertical="center"/>
      <protection locked="0"/>
    </xf>
    <xf numFmtId="2" fontId="11" fillId="3" borderId="163" xfId="24" applyNumberFormat="1" applyFont="1" applyFill="1" applyBorder="1" applyAlignment="1" applyProtection="1">
      <alignment horizontal="center" vertical="center"/>
      <protection locked="0"/>
    </xf>
    <xf numFmtId="2" fontId="11" fillId="3" borderId="164" xfId="24" applyNumberFormat="1" applyFont="1" applyFill="1" applyBorder="1" applyAlignment="1" applyProtection="1">
      <alignment horizontal="center" vertical="center"/>
      <protection locked="0"/>
    </xf>
    <xf numFmtId="2" fontId="11" fillId="3" borderId="165" xfId="24" applyNumberFormat="1" applyFont="1" applyFill="1" applyBorder="1" applyAlignment="1" applyProtection="1">
      <alignment horizontal="center" vertical="center"/>
      <protection locked="0"/>
    </xf>
    <xf numFmtId="0" fontId="24" fillId="3" borderId="76" xfId="28" applyFont="1" applyFill="1" applyBorder="1" applyAlignment="1" applyProtection="1">
      <alignment horizontal="left" wrapText="1"/>
      <protection locked="0"/>
    </xf>
    <xf numFmtId="0" fontId="9" fillId="3" borderId="64" xfId="28" applyFont="1" applyFill="1" applyBorder="1" applyAlignment="1" applyProtection="1">
      <alignment wrapText="1"/>
      <protection locked="0"/>
    </xf>
    <xf numFmtId="0" fontId="9" fillId="3" borderId="64" xfId="28" applyFont="1" applyFill="1" applyBorder="1" applyAlignment="1" applyProtection="1">
      <alignment wrapText="1"/>
      <protection/>
    </xf>
    <xf numFmtId="0" fontId="9" fillId="3" borderId="64" xfId="28" applyFont="1" applyFill="1" applyBorder="1" applyAlignment="1" applyProtection="1">
      <alignment/>
      <protection locked="0"/>
    </xf>
    <xf numFmtId="0" fontId="3" fillId="3" borderId="77" xfId="28" applyFont="1" applyFill="1" applyBorder="1" applyAlignment="1" applyProtection="1">
      <alignment/>
      <protection locked="0"/>
    </xf>
    <xf numFmtId="175" fontId="11" fillId="3" borderId="163" xfId="24" applyNumberFormat="1" applyFont="1" applyFill="1" applyBorder="1" applyAlignment="1" applyProtection="1">
      <alignment horizontal="center" vertical="center"/>
      <protection locked="0"/>
    </xf>
    <xf numFmtId="175" fontId="11" fillId="3" borderId="164" xfId="24" applyNumberFormat="1" applyFont="1" applyFill="1" applyBorder="1" applyAlignment="1" applyProtection="1">
      <alignment horizontal="center" vertical="center"/>
      <protection locked="0"/>
    </xf>
    <xf numFmtId="175" fontId="11" fillId="3" borderId="165" xfId="24" applyNumberFormat="1" applyFont="1" applyFill="1" applyBorder="1" applyAlignment="1" applyProtection="1">
      <alignment horizontal="center" vertical="center"/>
      <protection locked="0"/>
    </xf>
    <xf numFmtId="0" fontId="0" fillId="3" borderId="76" xfId="24" applyFill="1" applyBorder="1" applyAlignment="1" applyProtection="1">
      <alignment/>
      <protection locked="0"/>
    </xf>
    <xf numFmtId="0" fontId="0" fillId="3" borderId="64" xfId="24" applyFill="1" applyBorder="1" applyAlignment="1" applyProtection="1">
      <alignment/>
      <protection locked="0"/>
    </xf>
    <xf numFmtId="0" fontId="0" fillId="3" borderId="77" xfId="24" applyFill="1" applyBorder="1" applyAlignment="1" applyProtection="1">
      <alignment/>
      <protection locked="0"/>
    </xf>
  </cellXfs>
  <cellStyles count="17">
    <cellStyle name="Normal" xfId="0"/>
    <cellStyle name="=C:\WINNT\SYSTEM32\COMMAND.COM" xfId="15"/>
    <cellStyle name="=C:\WINNT\SYSTEM32\COMMAND.COM_x0000_COMPUTERNAME=YE12344_x0000_HOMEDRIVE=H:_x0000_HO" xfId="16"/>
    <cellStyle name="Comma" xfId="17"/>
    <cellStyle name="Comma [0]" xfId="18"/>
    <cellStyle name="Currency" xfId="19"/>
    <cellStyle name="Currency [0]" xfId="20"/>
    <cellStyle name="Euro" xfId="21"/>
    <cellStyle name="Followed Hyperlink" xfId="22"/>
    <cellStyle name="Hyperlink" xfId="23"/>
    <cellStyle name="Normal_1011 QuarterlyIncentiveReport - Q3" xfId="24"/>
    <cellStyle name="Normal_Capacity Incentives" xfId="25"/>
    <cellStyle name="Normal_Methane_Emissions_Venting_Oct08" xfId="26"/>
    <cellStyle name="Normal_OM external reporting" xfId="27"/>
    <cellStyle name="Normal_Sheet1" xfId="28"/>
    <cellStyle name="Normal_Sheet1_0910 Quarterly Incentive Report - UPDATES v0 4" xfId="29"/>
    <cellStyle name="Percent" xfId="30"/>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C8DF8E"/>
      <rgbColor rgb="00005596"/>
      <rgbColor rgb="00FFFF00"/>
      <rgbColor rgb="00FF00FF"/>
      <rgbColor rgb="0000FFFF"/>
      <rgbColor rgb="00800000"/>
      <rgbColor rgb="0000674E"/>
      <rgbColor rgb="00000080"/>
      <rgbColor rgb="00808000"/>
      <rgbColor rgb="00800080"/>
      <rgbColor rgb="000079C1"/>
      <rgbColor rgb="00C0C0C0"/>
      <rgbColor rgb="00808080"/>
      <rgbColor rgb="009DCCFE"/>
      <rgbColor rgb="00FA9A13"/>
      <rgbColor rgb="00FCD63E"/>
      <rgbColor rgb="0099CC12"/>
      <rgbColor rgb="003D66FD"/>
      <rgbColor rgb="00F96811"/>
      <rgbColor rgb="00FDFF69"/>
      <rgbColor rgb="007F800C"/>
      <rgbColor rgb="009DCCFE"/>
      <rgbColor rgb="00FA9A13"/>
      <rgbColor rgb="00FCD63E"/>
      <rgbColor rgb="0099CC12"/>
      <rgbColor rgb="003D66FD"/>
      <rgbColor rgb="00F96811"/>
      <rgbColor rgb="00FDFF9B"/>
      <rgbColor rgb="007F800C"/>
      <rgbColor rgb="00A4D7F4"/>
      <rgbColor rgb="00CCFFFF"/>
      <rgbColor rgb="0076D6CD"/>
      <rgbColor rgb="00FFFF99"/>
      <rgbColor rgb="00A3DCE6"/>
      <rgbColor rgb="00FF99CC"/>
      <rgbColor rgb="00CC99FF"/>
      <rgbColor rgb="00FFE153"/>
      <rgbColor rgb="00007698"/>
      <rgbColor rgb="0033CCCC"/>
      <rgbColor rgb="0099CC00"/>
      <rgbColor rgb="00FFD18C"/>
      <rgbColor rgb="00F8981D"/>
      <rgbColor rgb="00EF4135"/>
      <rgbColor rgb="00666699"/>
      <rgbColor rgb="00969696"/>
      <rgbColor rgb="00003366"/>
      <rgbColor rgb="0078A22F"/>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Capacity: Cumulative Buyback Costs Performance Measure</a:t>
            </a:r>
          </a:p>
        </c:rich>
      </c:tx>
      <c:layout>
        <c:manualLayout>
          <c:xMode val="factor"/>
          <c:yMode val="factor"/>
          <c:x val="0.023"/>
          <c:y val="-0.01825"/>
        </c:manualLayout>
      </c:layout>
      <c:spPr>
        <a:noFill/>
        <a:ln>
          <a:noFill/>
        </a:ln>
      </c:spPr>
    </c:title>
    <c:plotArea>
      <c:layout>
        <c:manualLayout>
          <c:xMode val="edge"/>
          <c:yMode val="edge"/>
          <c:x val="0.04625"/>
          <c:y val="0.072"/>
          <c:w val="0.95375"/>
          <c:h val="0.7955"/>
        </c:manualLayout>
      </c:layout>
      <c:barChart>
        <c:barDir val="col"/>
        <c:grouping val="stacked"/>
        <c:varyColors val="0"/>
        <c:ser>
          <c:idx val="0"/>
          <c:order val="0"/>
          <c:tx>
            <c:strRef>
              <c:f>Capacity!$C$60</c:f>
              <c:strCache>
                <c:ptCount val="1"/>
                <c:pt idx="0">
                  <c:v>Cumulative EnCOBBIPt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Capacity!$D$60:$O$60</c:f>
              <c:numCache>
                <c:ptCount val="12"/>
                <c:pt idx="0">
                  <c:v>-422426</c:v>
                </c:pt>
                <c:pt idx="1">
                  <c:v>-1278472</c:v>
                </c:pt>
                <c:pt idx="2">
                  <c:v>-1307134</c:v>
                </c:pt>
                <c:pt idx="3">
                  <c:v>0</c:v>
                </c:pt>
                <c:pt idx="4">
                  <c:v>0</c:v>
                </c:pt>
                <c:pt idx="5">
                  <c:v>0</c:v>
                </c:pt>
                <c:pt idx="6">
                  <c:v>0</c:v>
                </c:pt>
                <c:pt idx="7">
                  <c:v>0</c:v>
                </c:pt>
                <c:pt idx="8">
                  <c:v>0</c:v>
                </c:pt>
                <c:pt idx="9">
                  <c:v>0</c:v>
                </c:pt>
                <c:pt idx="10">
                  <c:v>0</c:v>
                </c:pt>
                <c:pt idx="11">
                  <c:v>0</c:v>
                </c:pt>
              </c:numCache>
            </c:numRef>
          </c:val>
        </c:ser>
        <c:overlap val="100"/>
        <c:gapWidth val="10"/>
        <c:axId val="20995892"/>
        <c:axId val="54745301"/>
      </c:barChart>
      <c:dateAx>
        <c:axId val="20995892"/>
        <c:scaling>
          <c:orientation val="minMax"/>
        </c:scaling>
        <c:axPos val="b"/>
        <c:delete val="0"/>
        <c:numFmt formatCode="General" sourceLinked="1"/>
        <c:majorTickMark val="out"/>
        <c:minorTickMark val="none"/>
        <c:tickLblPos val="low"/>
        <c:txPr>
          <a:bodyPr vert="horz" rot="-5400000"/>
          <a:lstStyle/>
          <a:p>
            <a:pPr>
              <a:defRPr lang="en-US" cap="none" sz="800" b="0" i="0" u="none" baseline="0">
                <a:latin typeface="Arial"/>
                <a:ea typeface="Arial"/>
                <a:cs typeface="Arial"/>
              </a:defRPr>
            </a:pPr>
          </a:p>
        </c:txPr>
        <c:crossAx val="54745301"/>
        <c:crosses val="autoZero"/>
        <c:auto val="0"/>
        <c:noMultiLvlLbl val="0"/>
      </c:dateAx>
      <c:valAx>
        <c:axId val="54745301"/>
        <c:scaling>
          <c:orientation val="minMax"/>
          <c:max val="0"/>
          <c:min val="-9000000"/>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20995892"/>
        <c:crossesAt val="1"/>
        <c:crossBetween val="between"/>
        <c:dispUnits>
          <c:builtInUnit val="millions"/>
        </c:dispUnits>
      </c:valAx>
      <c:spPr>
        <a:noFill/>
        <a:ln>
          <a:noFill/>
        </a:ln>
      </c:spPr>
    </c:plotArea>
    <c:legend>
      <c:legendPos val="b"/>
      <c:layout>
        <c:manualLayout>
          <c:xMode val="edge"/>
          <c:yMode val="edge"/>
          <c:x val="0.3715"/>
          <c:y val="0.91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8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10875"/>
          <c:y val="0.12675"/>
          <c:w val="0.8545"/>
          <c:h val="0.6437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18229838"/>
        <c:axId val="29850815"/>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Gas'!$D$64:$D$75</c:f>
              <c:numCache>
                <c:ptCount val="12"/>
                <c:pt idx="0">
                  <c:v>534</c:v>
                </c:pt>
                <c:pt idx="1">
                  <c:v>1041</c:v>
                </c:pt>
                <c:pt idx="2">
                  <c:v>1466</c:v>
                </c:pt>
                <c:pt idx="3">
                  <c:v>0</c:v>
                </c:pt>
                <c:pt idx="4">
                  <c:v>0</c:v>
                </c:pt>
                <c:pt idx="5">
                  <c:v>0</c:v>
                </c:pt>
                <c:pt idx="6">
                  <c:v>0</c:v>
                </c:pt>
                <c:pt idx="7">
                  <c:v>0</c:v>
                </c:pt>
                <c:pt idx="8">
                  <c:v>0</c:v>
                </c:pt>
                <c:pt idx="9">
                  <c:v>0</c:v>
                </c:pt>
                <c:pt idx="10">
                  <c:v>0</c:v>
                </c:pt>
                <c:pt idx="11">
                  <c:v>0</c:v>
                </c:pt>
              </c:numCache>
            </c:numRef>
          </c:val>
        </c:ser>
        <c:axId val="18229838"/>
        <c:axId val="29850815"/>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18229838"/>
        <c:axId val="29850815"/>
      </c:lineChart>
      <c:catAx>
        <c:axId val="1822983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9850815"/>
        <c:crosses val="autoZero"/>
        <c:auto val="0"/>
        <c:lblOffset val="0"/>
        <c:tickLblSkip val="1"/>
        <c:noMultiLvlLbl val="0"/>
      </c:catAx>
      <c:valAx>
        <c:axId val="29850815"/>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8229838"/>
        <c:crossesAt val="1"/>
        <c:crossBetween val="between"/>
        <c:dispUnits/>
      </c:valAx>
      <c:spPr>
        <a:noFill/>
      </c:spPr>
    </c:plotArea>
    <c:legend>
      <c:legendPos val="b"/>
      <c:legendEntry>
        <c:idx val="0"/>
        <c:delete val="1"/>
      </c:legendEntry>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725"/>
          <c:y val="0"/>
          <c:w val="0.85275"/>
          <c:h val="1"/>
        </c:manualLayout>
      </c:layout>
      <c:barChart>
        <c:barDir val="col"/>
        <c:grouping val="stacked"/>
        <c:varyColors val="0"/>
        <c:ser>
          <c:idx val="2"/>
          <c:order val="0"/>
          <c:tx>
            <c:strRef>
              <c:f>Capacity!$C$61</c:f>
              <c:strCache>
                <c:ptCount val="1"/>
                <c:pt idx="0">
                  <c:v>EnCOBBCt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Capacity!$D$61:$O$61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1"/>
          <c:tx>
            <c:strRef>
              <c:f>Capacity!$C$62</c:f>
              <c:strCache>
                <c:ptCount val="1"/>
                <c:pt idx="0">
                  <c:v>AOEnCRDt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Capacity!$D$62:$O$62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2"/>
          <c:tx>
            <c:strRef>
              <c:f>Capacity!$C$63</c:f>
              <c:strCache>
                <c:ptCount val="1"/>
                <c:pt idx="0">
                  <c:v>REVICt</c:v>
                </c:pt>
              </c:strCache>
            </c:strRef>
          </c:tx>
          <c:spPr>
            <a:solidFill>
              <a:srgbClr val="78A22F"/>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Capacity!$D$63:$O$63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5"/>
          <c:order val="3"/>
          <c:tx>
            <c:strRef>
              <c:f>Capacity!$C$64</c:f>
              <c:strCache>
                <c:ptCount val="1"/>
                <c:pt idx="0">
                  <c:v>(ANOEnCRt - EnCNOIRt)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Capacity!$D$64:$O$64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6"/>
          <c:order val="4"/>
          <c:tx>
            <c:strRef>
              <c:f>Capacity!$C$65</c:f>
              <c:strCache>
                <c:ptCount val="1"/>
                <c:pt idx="0">
                  <c:v>RCORt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Capacity!$D$65:$O$65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5"/>
          <c:tx>
            <c:strRef>
              <c:f>Capacity!$C$66</c:f>
              <c:strCache>
                <c:ptCount val="1"/>
                <c:pt idx="0">
                  <c:v>RLOCt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Capacity!$D$66:$O$66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7"/>
          <c:order val="6"/>
          <c:tx>
            <c:strRef>
              <c:f>Capacity!$C$67</c:f>
              <c:strCache>
                <c:ptCount val="1"/>
                <c:pt idx="0">
                  <c:v>RADDt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Capacity!$D$67:$O$67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221880"/>
        <c:axId val="1996921"/>
      </c:barChart>
      <c:dateAx>
        <c:axId val="221880"/>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1996921"/>
        <c:crosses val="autoZero"/>
        <c:auto val="0"/>
        <c:noMultiLvlLbl val="0"/>
      </c:dateAx>
      <c:valAx>
        <c:axId val="1996921"/>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21880"/>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27875"/>
          <c:w val="0.11025"/>
          <c:h val="0.447"/>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1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Cumulative Buyback Performance Measure</a:t>
            </a:r>
          </a:p>
        </c:rich>
      </c:tx>
      <c:layout>
        <c:manualLayout>
          <c:xMode val="factor"/>
          <c:yMode val="factor"/>
          <c:x val="0.1165"/>
          <c:y val="-0.02075"/>
        </c:manualLayout>
      </c:layout>
      <c:spPr>
        <a:noFill/>
        <a:ln>
          <a:noFill/>
        </a:ln>
      </c:spPr>
    </c:title>
    <c:plotArea>
      <c:layout>
        <c:manualLayout>
          <c:xMode val="edge"/>
          <c:yMode val="edge"/>
          <c:x val="0.14725"/>
          <c:y val="0.056"/>
          <c:w val="0.83075"/>
          <c:h val="0.944"/>
        </c:manualLayout>
      </c:layout>
      <c:barChart>
        <c:barDir val="col"/>
        <c:grouping val="stacked"/>
        <c:varyColors val="0"/>
        <c:ser>
          <c:idx val="0"/>
          <c:order val="0"/>
          <c:tx>
            <c:v>Cumulative Buyback Peformance Measure (EnCOBBIPt)</c:v>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Capacity!$D$60:$O$60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17972290"/>
        <c:axId val="27532883"/>
      </c:barChart>
      <c:dateAx>
        <c:axId val="17972290"/>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27532883"/>
        <c:crosses val="autoZero"/>
        <c:auto val="0"/>
        <c:noMultiLvlLbl val="0"/>
      </c:dateAx>
      <c:valAx>
        <c:axId val="27532883"/>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17972290"/>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1745"/>
          <c:w val="0.11025"/>
          <c:h val="0.45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0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Capacity Buyback</a:t>
            </a:r>
          </a:p>
        </c:rich>
      </c:tx>
      <c:layout>
        <c:manualLayout>
          <c:xMode val="factor"/>
          <c:yMode val="factor"/>
          <c:x val="0"/>
          <c:y val="0"/>
        </c:manualLayout>
      </c:layout>
      <c:spPr>
        <a:noFill/>
        <a:ln>
          <a:noFill/>
        </a:ln>
      </c:spPr>
    </c:title>
    <c:plotArea>
      <c:layout>
        <c:manualLayout>
          <c:xMode val="edge"/>
          <c:yMode val="edge"/>
          <c:x val="0.054"/>
          <c:y val="0.1095"/>
          <c:w val="0.94425"/>
          <c:h val="0.8195"/>
        </c:manualLayout>
      </c:layout>
      <c:scatterChart>
        <c:scatterStyle val="smoothMarker"/>
        <c:varyColors val="0"/>
        <c:ser>
          <c:idx val="0"/>
          <c:order val="0"/>
          <c:spPr>
            <a:ln w="381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Data'!$G$6:$G$10</c:f>
              <c:numCache>
                <c:ptCount val="5"/>
                <c:pt idx="0">
                  <c:v>-80</c:v>
                </c:pt>
                <c:pt idx="1">
                  <c:v>-16.71058</c:v>
                </c:pt>
                <c:pt idx="2">
                  <c:v>16.71</c:v>
                </c:pt>
                <c:pt idx="3">
                  <c:v>41.466</c:v>
                </c:pt>
                <c:pt idx="4">
                  <c:v>80</c:v>
                </c:pt>
              </c:numCache>
            </c:numRef>
          </c:xVal>
          <c:yVal>
            <c:numRef>
              <c:f>'Graph Data'!$H$6:$H$10</c:f>
              <c:numCache>
                <c:ptCount val="5"/>
                <c:pt idx="0">
                  <c:v>16.71029</c:v>
                </c:pt>
                <c:pt idx="1">
                  <c:v>16.71029</c:v>
                </c:pt>
                <c:pt idx="2">
                  <c:v>0</c:v>
                </c:pt>
                <c:pt idx="3">
                  <c:v>-12.378</c:v>
                </c:pt>
                <c:pt idx="4">
                  <c:v>-12.378</c:v>
                </c:pt>
              </c:numCache>
            </c:numRef>
          </c:yVal>
          <c:smooth val="1"/>
        </c:ser>
        <c:axId val="46469356"/>
        <c:axId val="15571021"/>
      </c:scatterChart>
      <c:valAx>
        <c:axId val="46469356"/>
        <c:scaling>
          <c:orientation val="minMax"/>
          <c:max val="80"/>
          <c:min val="-80"/>
        </c:scaling>
        <c:axPos val="b"/>
        <c:title>
          <c:tx>
            <c:rich>
              <a:bodyPr vert="horz" rot="0" anchor="ctr"/>
              <a:lstStyle/>
              <a:p>
                <a:pPr algn="ctr">
                  <a:defRPr/>
                </a:pPr>
                <a:r>
                  <a:rPr lang="en-US" cap="none" sz="1000" b="1" i="0" u="none" baseline="0">
                    <a:solidFill>
                      <a:srgbClr val="000000"/>
                    </a:solidFill>
                    <a:latin typeface="Arial"/>
                    <a:ea typeface="Arial"/>
                    <a:cs typeface="Arial"/>
                  </a:rPr>
                  <a:t>( Net Revenue )  / Costs £m</a:t>
                </a:r>
              </a:p>
            </c:rich>
          </c:tx>
          <c:layout>
            <c:manualLayout>
              <c:xMode val="factor"/>
              <c:yMode val="factor"/>
              <c:x val="0.001"/>
              <c:y val="-0.002"/>
            </c:manualLayout>
          </c:layout>
          <c:overlay val="0"/>
          <c:spPr>
            <a:noFill/>
            <a:ln>
              <a:noFill/>
            </a:ln>
          </c:spPr>
        </c:title>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5571021"/>
        <c:crosses val="autoZero"/>
        <c:crossBetween val="midCat"/>
        <c:dispUnits/>
        <c:majorUnit val="20"/>
      </c:valAx>
      <c:valAx>
        <c:axId val="1557102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Scheme (Loss) / Profit £m</a:t>
                </a:r>
              </a:p>
            </c:rich>
          </c:tx>
          <c:layout>
            <c:manualLayout>
              <c:xMode val="factor"/>
              <c:yMode val="factor"/>
              <c:x val="0.00475"/>
              <c:y val="0.001"/>
            </c:manualLayout>
          </c:layout>
          <c:overlay val="0"/>
          <c:spPr>
            <a:noFill/>
            <a:ln>
              <a:noFill/>
            </a:ln>
          </c:spPr>
        </c:title>
        <c:majorGridlines>
          <c:spPr>
            <a:ln w="3175">
              <a:solidFill>
                <a:srgbClr val="C0C0C0"/>
              </a:solidFill>
            </a:ln>
          </c:spPr>
        </c:majorGridlines>
        <c:delete val="0"/>
        <c:numFmt formatCode="#,##0_);\(#,##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6469356"/>
        <c:crosses val="autoZero"/>
        <c:crossBetween val="midCat"/>
        <c:dispUnits/>
        <c:majorUnit val="1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 error</a:t>
            </a:r>
          </a:p>
        </c:rich>
      </c:tx>
      <c:layout>
        <c:manualLayout>
          <c:xMode val="factor"/>
          <c:yMode val="factor"/>
          <c:x val="0.01725"/>
          <c:y val="-0.0205"/>
        </c:manualLayout>
      </c:layout>
      <c:spPr>
        <a:noFill/>
        <a:ln>
          <a:noFill/>
        </a:ln>
      </c:spPr>
    </c:title>
    <c:plotArea>
      <c:layout>
        <c:manualLayout>
          <c:xMode val="edge"/>
          <c:yMode val="edge"/>
          <c:x val="0.03825"/>
          <c:y val="0.071"/>
          <c:w val="0.9335"/>
          <c:h val="0.76575"/>
        </c:manualLayout>
      </c:layout>
      <c:barChart>
        <c:barDir val="col"/>
        <c:grouping val="clustered"/>
        <c:varyColors val="0"/>
        <c:ser>
          <c:idx val="1"/>
          <c:order val="0"/>
          <c:tx>
            <c:strRef>
              <c:f>'Demand Forecasting'!$G$68</c:f>
              <c:strCache>
                <c:ptCount val="1"/>
                <c:pt idx="0">
                  <c:v>Absolute Percentage Error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Forecasting'!$G$69:$G$80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'Demand Forecasting'!$J$68</c:f>
              <c:strCache>
                <c:ptCount val="1"/>
                <c:pt idx="0">
                  <c:v>Cumulative Absolute Percentage Error</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Forecasting'!$J$69:$J$80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921462"/>
        <c:axId val="53293159"/>
      </c:barChart>
      <c:lineChart>
        <c:grouping val="standard"/>
        <c:varyColors val="0"/>
        <c:ser>
          <c:idx val="2"/>
          <c:order val="2"/>
          <c:tx>
            <c:strRef>
              <c:f>'Demand Forecasting'!$H$68</c:f>
              <c:strCache>
                <c:ptCount val="1"/>
                <c:pt idx="0">
                  <c:v>Minimum Percentage Error</c:v>
                </c:pt>
              </c:strCache>
            </c:strRef>
          </c:tx>
          <c:spPr>
            <a:ln w="25400">
              <a:solidFill>
                <a:srgbClr val="00674E"/>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674E"/>
              </a:solidFill>
              <a:ln>
                <a:solidFill>
                  <a:srgbClr val="00674E"/>
                </a:solidFill>
              </a:ln>
            </c:spPr>
          </c:marker>
          <c:cat>
            <c:strLit>
              <c:ptCount val="1"/>
              <c:pt idx="0">
                <c:v>Demand (mcm)</c:v>
              </c:pt>
            </c:strLit>
          </c:cat>
          <c:val>
            <c:numRef>
              <c:f>'Demand Forecasting'!$H$69:$H$80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'Demand Forecasting'!$I$68</c:f>
              <c:strCache>
                <c:ptCount val="1"/>
                <c:pt idx="0">
                  <c:v>Maximum Percentage Error</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cat>
            <c:strLit>
              <c:ptCount val="1"/>
              <c:pt idx="0">
                <c:v>Demand (mcm)</c:v>
              </c:pt>
            </c:strLit>
          </c:cat>
          <c:val>
            <c:numRef>
              <c:f>'Demand Forecasting'!$I$69:$I$80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9876384"/>
        <c:axId val="21778593"/>
      </c:lineChart>
      <c:catAx>
        <c:axId val="5921462"/>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53293159"/>
        <c:crosses val="autoZero"/>
        <c:auto val="0"/>
        <c:lblOffset val="100"/>
        <c:tickLblSkip val="1"/>
        <c:noMultiLvlLbl val="0"/>
      </c:catAx>
      <c:valAx>
        <c:axId val="53293159"/>
        <c:scaling>
          <c:orientation val="minMax"/>
        </c:scaling>
        <c:axPos val="l"/>
        <c:title>
          <c:tx>
            <c:rich>
              <a:bodyPr vert="horz" rot="-5400000" anchor="ctr"/>
              <a:lstStyle/>
              <a:p>
                <a:pPr algn="ctr">
                  <a:defRPr/>
                </a:pPr>
                <a:r>
                  <a:rPr lang="en-US" cap="none" sz="1000" b="1" i="0" u="none" baseline="0">
                    <a:latin typeface="Arial"/>
                    <a:ea typeface="Arial"/>
                    <a:cs typeface="Arial"/>
                  </a:rPr>
                  <a:t>Absolute / Cumulative Percentage Error</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5921462"/>
        <c:crossesAt val="1"/>
        <c:crossBetween val="between"/>
        <c:dispUnits/>
      </c:valAx>
      <c:catAx>
        <c:axId val="9876384"/>
        <c:scaling>
          <c:orientation val="minMax"/>
        </c:scaling>
        <c:axPos val="b"/>
        <c:delete val="1"/>
        <c:majorTickMark val="in"/>
        <c:minorTickMark val="none"/>
        <c:tickLblPos val="nextTo"/>
        <c:crossAx val="21778593"/>
        <c:crosses val="autoZero"/>
        <c:auto val="0"/>
        <c:lblOffset val="100"/>
        <c:tickLblSkip val="1"/>
        <c:noMultiLvlLbl val="0"/>
      </c:catAx>
      <c:valAx>
        <c:axId val="21778593"/>
        <c:scaling>
          <c:orientation val="minMax"/>
        </c:scaling>
        <c:axPos val="l"/>
        <c:title>
          <c:tx>
            <c:rich>
              <a:bodyPr vert="horz" rot="-5400000" anchor="ctr"/>
              <a:lstStyle/>
              <a:p>
                <a:pPr algn="ctr">
                  <a:defRPr/>
                </a:pPr>
                <a:r>
                  <a:rPr lang="en-US" cap="none" sz="1000" b="1" i="0" u="none" baseline="0">
                    <a:latin typeface="Arial"/>
                    <a:ea typeface="Arial"/>
                    <a:cs typeface="Arial"/>
                  </a:rPr>
                  <a:t>Min / Max Percentage Error</a:t>
                </a:r>
              </a:p>
            </c:rich>
          </c:tx>
          <c:layout>
            <c:manualLayout>
              <c:xMode val="factor"/>
              <c:yMode val="factor"/>
              <c:x val="0.00075"/>
              <c:y val="-0.00125"/>
            </c:manualLayout>
          </c:layout>
          <c:overlay val="0"/>
          <c:spPr>
            <a:noFill/>
            <a:ln>
              <a:noFill/>
            </a:ln>
          </c:spPr>
        </c:title>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9876384"/>
        <c:crosses val="max"/>
        <c:crossBetween val="between"/>
        <c:dispUnits/>
      </c:valAx>
      <c:spPr>
        <a:noFill/>
        <a:ln w="12700">
          <a:solidFill>
            <a:srgbClr val="808080"/>
          </a:solidFill>
        </a:ln>
      </c:spPr>
    </c:plotArea>
    <c:legend>
      <c:legendPos val="b"/>
      <c:layout>
        <c:manualLayout>
          <c:xMode val="edge"/>
          <c:yMode val="edge"/>
          <c:x val="0.2095"/>
          <c:y val="0.84325"/>
          <c:w val="0.7175"/>
          <c:h val="0.1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Absolute Forecast Error</a:t>
            </a:r>
          </a:p>
        </c:rich>
      </c:tx>
      <c:layout>
        <c:manualLayout>
          <c:xMode val="factor"/>
          <c:yMode val="factor"/>
          <c:x val="0.01725"/>
          <c:y val="-0.0205"/>
        </c:manualLayout>
      </c:layout>
      <c:spPr>
        <a:noFill/>
        <a:ln>
          <a:noFill/>
        </a:ln>
      </c:spPr>
    </c:title>
    <c:plotArea>
      <c:layout>
        <c:manualLayout>
          <c:xMode val="edge"/>
          <c:yMode val="edge"/>
          <c:x val="0.0235"/>
          <c:y val="0.06175"/>
          <c:w val="0.939"/>
          <c:h val="0.849"/>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61789610"/>
        <c:axId val="19235579"/>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Forecasting'!$J$69:$J$71</c:f>
              <c:numCache>
                <c:ptCount val="3"/>
                <c:pt idx="0">
                  <c:v>0</c:v>
                </c:pt>
                <c:pt idx="1">
                  <c:v>0</c:v>
                </c:pt>
                <c:pt idx="2">
                  <c:v>0</c:v>
                </c:pt>
              </c:numCache>
            </c:numRef>
          </c:val>
          <c:smooth val="0"/>
        </c:ser>
        <c:axId val="61789610"/>
        <c:axId val="19235579"/>
      </c:lineChart>
      <c:catAx>
        <c:axId val="6178961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9235579"/>
        <c:crosses val="autoZero"/>
        <c:auto val="0"/>
        <c:lblOffset val="100"/>
        <c:tickLblSkip val="1"/>
        <c:noMultiLvlLbl val="0"/>
      </c:catAx>
      <c:valAx>
        <c:axId val="19235579"/>
        <c:scaling>
          <c:orientation val="minMax"/>
          <c:min val="0.024"/>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61789610"/>
        <c:crossesAt val="1"/>
        <c:crossBetween val="between"/>
        <c:dispUnits/>
        <c:majorUnit val="0.001"/>
      </c:valAx>
      <c:spPr>
        <a:noFill/>
        <a:ln w="12700">
          <a:solidFill>
            <a:srgbClr val="808080"/>
          </a:solidFill>
        </a:ln>
      </c:spPr>
    </c:plotArea>
    <c:legend>
      <c:legendPos val="b"/>
      <c:legendEntry>
        <c:idx val="0"/>
        <c:delete val="1"/>
      </c:legendEntry>
      <c:layout>
        <c:manualLayout>
          <c:xMode val="edge"/>
          <c:yMode val="edge"/>
          <c:x val="0.17975"/>
          <c:y val="0.931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Demand Forecasting Accuracy</a:t>
            </a:r>
          </a:p>
        </c:rich>
      </c:tx>
      <c:layout>
        <c:manualLayout>
          <c:xMode val="factor"/>
          <c:yMode val="factor"/>
          <c:x val="0.0105"/>
          <c:y val="0"/>
        </c:manualLayout>
      </c:layout>
      <c:spPr>
        <a:noFill/>
        <a:ln>
          <a:noFill/>
        </a:ln>
      </c:spPr>
    </c:title>
    <c:plotArea>
      <c:layout>
        <c:manualLayout>
          <c:xMode val="edge"/>
          <c:yMode val="edge"/>
          <c:x val="0.05175"/>
          <c:y val="0.108"/>
          <c:w val="0.925"/>
          <c:h val="0.82175"/>
        </c:manualLayout>
      </c:layout>
      <c:scatterChart>
        <c:scatterStyle val="smoothMarker"/>
        <c:varyColors val="0"/>
        <c:ser>
          <c:idx val="1"/>
          <c:order val="0"/>
          <c:tx>
            <c:strRef>
              <c:f>'Graph Data'!$G$13</c:f>
              <c:strCache>
                <c:ptCount val="1"/>
                <c:pt idx="0">
                  <c:v>Scheme parameters </c:v>
                </c:pt>
              </c:strCache>
            </c:strRef>
          </c:tx>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Data'!$J$14:$J$18</c:f>
              <c:numCache>
                <c:ptCount val="5"/>
                <c:pt idx="0">
                  <c:v>0.041999999999999996</c:v>
                </c:pt>
                <c:pt idx="1">
                  <c:v>0.03</c:v>
                </c:pt>
                <c:pt idx="2">
                  <c:v>0.027</c:v>
                </c:pt>
                <c:pt idx="3">
                  <c:v>0</c:v>
                </c:pt>
                <c:pt idx="4">
                  <c:v>-0.0015000000000000013</c:v>
                </c:pt>
              </c:numCache>
            </c:numRef>
          </c:xVal>
          <c:yVal>
            <c:numRef>
              <c:f>'Graph Data'!$H$14:$H$18</c:f>
              <c:numCache>
                <c:ptCount val="5"/>
                <c:pt idx="0">
                  <c:v>-1.6</c:v>
                </c:pt>
                <c:pt idx="1">
                  <c:v>-1.6</c:v>
                </c:pt>
                <c:pt idx="2">
                  <c:v>1.6</c:v>
                </c:pt>
                <c:pt idx="3">
                  <c:v>8.27</c:v>
                </c:pt>
                <c:pt idx="4">
                  <c:v>8.27</c:v>
                </c:pt>
              </c:numCache>
            </c:numRef>
          </c:yVal>
          <c:smooth val="1"/>
        </c:ser>
        <c:axId val="38902484"/>
        <c:axId val="14578037"/>
      </c:scatterChart>
      <c:valAx>
        <c:axId val="38902484"/>
        <c:scaling>
          <c:orientation val="minMax"/>
          <c:max val="0.04"/>
          <c:min val="0"/>
        </c:scaling>
        <c:axPos val="b"/>
        <c:title>
          <c:tx>
            <c:rich>
              <a:bodyPr vert="horz" rot="0" anchor="ctr"/>
              <a:lstStyle/>
              <a:p>
                <a:pPr algn="ctr">
                  <a:defRPr/>
                </a:pPr>
                <a:r>
                  <a:rPr lang="en-US" cap="none" sz="1000" b="1" i="0" u="none" baseline="0">
                    <a:solidFill>
                      <a:srgbClr val="000000"/>
                    </a:solidFill>
                    <a:latin typeface="Arial"/>
                    <a:ea typeface="Arial"/>
                    <a:cs typeface="Arial"/>
                  </a:rPr>
                  <a:t>Demand Forecasting Error</a:t>
                </a:r>
              </a:p>
            </c:rich>
          </c:tx>
          <c:layout>
            <c:manualLayout>
              <c:xMode val="factor"/>
              <c:yMode val="factor"/>
              <c:x val="0.01025"/>
              <c:y val="-0.00075"/>
            </c:manualLayout>
          </c:layout>
          <c:overlay val="0"/>
          <c:spPr>
            <a:noFill/>
            <a:ln>
              <a:noFill/>
            </a:ln>
          </c:spPr>
        </c:title>
        <c:minorGridlines>
          <c:spPr>
            <a:ln w="3175">
              <a:solidFill>
                <a:srgbClr val="C0C0C0"/>
              </a:solidFill>
            </a:ln>
          </c:spPr>
        </c:min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4578037"/>
        <c:crosses val="autoZero"/>
        <c:crossBetween val="midCat"/>
        <c:dispUnits/>
        <c:minorUnit val="0.005"/>
      </c:valAx>
      <c:valAx>
        <c:axId val="14578037"/>
        <c:scaling>
          <c:orientation val="minMax"/>
          <c:max val="10"/>
          <c:min val="-4"/>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35"/>
              <c:y val="-0.002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8902484"/>
        <c:crossesAt val="0"/>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Website Availability by Screen</a:t>
            </a:r>
          </a:p>
        </c:rich>
      </c:tx>
      <c:layout>
        <c:manualLayout>
          <c:xMode val="factor"/>
          <c:yMode val="factor"/>
          <c:x val="0"/>
          <c:y val="-0.01975"/>
        </c:manualLayout>
      </c:layout>
      <c:spPr>
        <a:noFill/>
        <a:ln>
          <a:noFill/>
        </a:ln>
      </c:spPr>
    </c:title>
    <c:plotArea>
      <c:layout>
        <c:manualLayout>
          <c:xMode val="edge"/>
          <c:yMode val="edge"/>
          <c:x val="0.056"/>
          <c:y val="0.0695"/>
          <c:w val="0.944"/>
          <c:h val="0.8415"/>
        </c:manualLayout>
      </c:layout>
      <c:barChart>
        <c:barDir val="col"/>
        <c:grouping val="clustered"/>
        <c:varyColors val="0"/>
        <c:ser>
          <c:idx val="0"/>
          <c:order val="0"/>
          <c:tx>
            <c:strRef>
              <c:f>'Data Publication'!$C$85</c:f>
              <c:strCache>
                <c:ptCount val="1"/>
                <c:pt idx="0">
                  <c:v>Prevailing View - WAPPV</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Publication'!$E$85:$P$85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'Data Publication'!$C$86</c:f>
              <c:strCache>
                <c:ptCount val="1"/>
                <c:pt idx="0">
                  <c:v>Data Item Explorer - WAPDE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Publication'!$E$86:$P$86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'Data Publication'!$C$87</c:f>
              <c:strCache>
                <c:ptCount val="1"/>
                <c:pt idx="0">
                  <c:v>Report Explorer - WAPRE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Publication'!$E$87:$P$87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4093470"/>
        <c:axId val="39970319"/>
      </c:barChart>
      <c:dateAx>
        <c:axId val="6409347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9970319"/>
        <c:crosses val="autoZero"/>
        <c:auto val="0"/>
        <c:noMultiLvlLbl val="0"/>
      </c:dateAx>
      <c:valAx>
        <c:axId val="39970319"/>
        <c:scaling>
          <c:orientation val="minMax"/>
        </c:scaling>
        <c:axPos val="l"/>
        <c:title>
          <c:tx>
            <c:rich>
              <a:bodyPr vert="horz" rot="-5400000" anchor="ctr"/>
              <a:lstStyle/>
              <a:p>
                <a:pPr algn="ctr">
                  <a:defRPr/>
                </a:pPr>
                <a:r>
                  <a:rPr lang="en-US" cap="none" sz="975" b="1" i="0" u="none" baseline="0">
                    <a:latin typeface="Arial"/>
                    <a:ea typeface="Arial"/>
                    <a:cs typeface="Arial"/>
                  </a:rPr>
                  <a:t>Minutes Unavailable per Month</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4093470"/>
        <c:crossesAt val="1"/>
        <c:crossBetween val="between"/>
        <c:dispUnits/>
      </c:valAx>
      <c:spPr>
        <a:noFill/>
        <a:ln w="12700">
          <a:solidFill>
            <a:srgbClr val="808080"/>
          </a:solidFill>
        </a:ln>
      </c:spPr>
    </c:plotArea>
    <c:legend>
      <c:legendPos val="b"/>
      <c:layout>
        <c:manualLayout>
          <c:xMode val="edge"/>
          <c:yMode val="edge"/>
          <c:x val="0.0905"/>
          <c:y val="0.934"/>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Timeliness by Report</a:t>
            </a:r>
          </a:p>
        </c:rich>
      </c:tx>
      <c:layout>
        <c:manualLayout>
          <c:xMode val="factor"/>
          <c:yMode val="factor"/>
          <c:x val="0"/>
          <c:y val="-0.01975"/>
        </c:manualLayout>
      </c:layout>
      <c:spPr>
        <a:noFill/>
        <a:ln>
          <a:noFill/>
        </a:ln>
      </c:spPr>
    </c:title>
    <c:plotArea>
      <c:layout>
        <c:manualLayout>
          <c:xMode val="edge"/>
          <c:yMode val="edge"/>
          <c:x val="0.104"/>
          <c:y val="0.07575"/>
          <c:w val="0.896"/>
          <c:h val="0.6545"/>
        </c:manualLayout>
      </c:layout>
      <c:lineChart>
        <c:grouping val="standard"/>
        <c:varyColors val="0"/>
        <c:ser>
          <c:idx val="0"/>
          <c:order val="0"/>
          <c:tx>
            <c:strRef>
              <c:f>'Data Publication'!$C$90</c:f>
              <c:strCache>
                <c:ptCount val="1"/>
                <c:pt idx="0">
                  <c:v>Predicted Closing Line Pack - WTPL</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Publication'!$E$90:$P$90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Publication'!$C$91</c:f>
              <c:strCache>
                <c:ptCount val="1"/>
                <c:pt idx="0">
                  <c:v>National Forecast Flow - WTPNN</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Publication'!$E$91:$P$91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'Data Publication'!$C$92</c:f>
              <c:strCache>
                <c:ptCount val="1"/>
                <c:pt idx="0">
                  <c:v>National Physical Flow - WTPNA</c:v>
                </c:pt>
              </c:strCache>
            </c:strRef>
          </c:tx>
          <c:spPr>
            <a:ln w="25400">
              <a:solidFill>
                <a:srgbClr val="78A22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78A22F"/>
              </a:solidFill>
              <a:ln>
                <a:solidFill>
                  <a:srgbClr val="78A22F"/>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Publication'!$E$92:$P$92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'Data Publication'!$C$93</c:f>
              <c:strCache>
                <c:ptCount val="1"/>
                <c:pt idx="0">
                  <c:v>NTS Throughput (Forecast) - WTPDF</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CC12"/>
              </a:solidFill>
              <a:ln>
                <a:solidFill>
                  <a:srgbClr val="99CC12"/>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Publication'!$E$93:$P$93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24188552"/>
        <c:axId val="16370377"/>
      </c:lineChart>
      <c:dateAx>
        <c:axId val="2418855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6370377"/>
        <c:crosses val="autoZero"/>
        <c:auto val="0"/>
        <c:noMultiLvlLbl val="0"/>
      </c:dateAx>
      <c:valAx>
        <c:axId val="16370377"/>
        <c:scaling>
          <c:orientation val="minMax"/>
          <c:max val="1.05"/>
          <c:min val="0.5"/>
        </c:scaling>
        <c:axPos val="l"/>
        <c:title>
          <c:tx>
            <c:rich>
              <a:bodyPr vert="horz" rot="-5400000" anchor="ctr"/>
              <a:lstStyle/>
              <a:p>
                <a:pPr algn="ctr">
                  <a:defRPr/>
                </a:pPr>
                <a:r>
                  <a:rPr lang="en-US" cap="none" sz="950" b="1" i="0" u="none" baseline="0">
                    <a:latin typeface="Arial"/>
                    <a:ea typeface="Arial"/>
                    <a:cs typeface="Arial"/>
                  </a:rPr>
                  <a:t>Percentage of Reports Published Within 10 Minutes</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4188552"/>
        <c:crossesAt val="1"/>
        <c:crossBetween val="between"/>
        <c:dispUnits/>
      </c:valAx>
      <c:spPr>
        <a:noFill/>
        <a:ln w="12700">
          <a:solidFill>
            <a:srgbClr val="808080"/>
          </a:solidFill>
        </a:ln>
      </c:spPr>
    </c:plotArea>
    <c:legend>
      <c:legendPos val="b"/>
      <c:layout>
        <c:manualLayout>
          <c:xMode val="edge"/>
          <c:yMode val="edge"/>
          <c:x val="0.2445"/>
          <c:y val="0.771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Availability</a:t>
            </a:r>
          </a:p>
        </c:rich>
      </c:tx>
      <c:layout>
        <c:manualLayout>
          <c:xMode val="factor"/>
          <c:yMode val="factor"/>
          <c:x val="0"/>
          <c:y val="-0.01825"/>
        </c:manualLayout>
      </c:layout>
      <c:spPr>
        <a:noFill/>
        <a:ln>
          <a:noFill/>
        </a:ln>
      </c:spPr>
    </c:title>
    <c:plotArea>
      <c:layout>
        <c:manualLayout>
          <c:xMode val="edge"/>
          <c:yMode val="edge"/>
          <c:x val="0.07375"/>
          <c:y val="0.0915"/>
          <c:w val="0.89325"/>
          <c:h val="0.733"/>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13115666"/>
        <c:axId val="50932131"/>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Publication'!$E$88:$P$88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3115666"/>
        <c:axId val="50932131"/>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13115666"/>
        <c:axId val="50932131"/>
      </c:lineChart>
      <c:catAx>
        <c:axId val="1311566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0932131"/>
        <c:crosses val="autoZero"/>
        <c:auto val="0"/>
        <c:lblOffset val="100"/>
        <c:tickLblSkip val="1"/>
        <c:noMultiLvlLbl val="0"/>
      </c:catAx>
      <c:valAx>
        <c:axId val="50932131"/>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3115666"/>
        <c:crossesAt val="1"/>
        <c:crossBetween val="between"/>
        <c:dispUnits/>
      </c:valAx>
      <c:spPr>
        <a:solidFill>
          <a:srgbClr val="FFFFFF"/>
        </a:solidFill>
      </c:spPr>
    </c:plotArea>
    <c:legend>
      <c:legendPos val="b"/>
      <c:legendEntry>
        <c:idx val="0"/>
        <c:delete val="1"/>
      </c:legendEntry>
      <c:layout>
        <c:manualLayout>
          <c:xMode val="edge"/>
          <c:yMode val="edge"/>
          <c:x val="0.13075"/>
          <c:y val="0.8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Forecasting: Cumulative Absolute Forecast Error</a:t>
            </a:r>
          </a:p>
        </c:rich>
      </c:tx>
      <c:layout>
        <c:manualLayout>
          <c:xMode val="factor"/>
          <c:yMode val="factor"/>
          <c:x val="0.01725"/>
          <c:y val="-0.0205"/>
        </c:manualLayout>
      </c:layout>
      <c:spPr>
        <a:noFill/>
        <a:ln>
          <a:noFill/>
        </a:ln>
      </c:spPr>
    </c:title>
    <c:plotArea>
      <c:layout>
        <c:manualLayout>
          <c:xMode val="edge"/>
          <c:yMode val="edge"/>
          <c:x val="0.0775"/>
          <c:y val="0.09825"/>
          <c:w val="0.8755"/>
          <c:h val="0.6895"/>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22945662"/>
        <c:axId val="5184367"/>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Forecasting'!$J$69:$J$71</c:f>
              <c:numCache>
                <c:ptCount val="3"/>
                <c:pt idx="0">
                  <c:v>0.03269479569935114</c:v>
                </c:pt>
                <c:pt idx="1">
                  <c:v>0.0337394327311189</c:v>
                </c:pt>
                <c:pt idx="2">
                  <c:v>0.03132118849246266</c:v>
                </c:pt>
              </c:numCache>
            </c:numRef>
          </c:val>
          <c:smooth val="0"/>
        </c:ser>
        <c:axId val="22945662"/>
        <c:axId val="5184367"/>
      </c:lineChart>
      <c:catAx>
        <c:axId val="2294566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184367"/>
        <c:crosses val="autoZero"/>
        <c:auto val="0"/>
        <c:lblOffset val="100"/>
        <c:tickLblSkip val="1"/>
        <c:noMultiLvlLbl val="0"/>
      </c:catAx>
      <c:valAx>
        <c:axId val="5184367"/>
        <c:scaling>
          <c:orientation val="minMax"/>
          <c:min val="0.02"/>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22945662"/>
        <c:crossesAt val="1"/>
        <c:crossBetween val="between"/>
        <c:dispUnits/>
      </c:valAx>
      <c:spPr>
        <a:noFill/>
        <a:ln w="12700">
          <a:solidFill>
            <a:srgbClr val="808080"/>
          </a:solidFill>
        </a:ln>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Data Publication</a:t>
            </a:r>
          </a:p>
        </c:rich>
      </c:tx>
      <c:layout>
        <c:manualLayout>
          <c:xMode val="factor"/>
          <c:yMode val="factor"/>
          <c:x val="0.00325"/>
          <c:y val="-0.01225"/>
        </c:manualLayout>
      </c:layout>
      <c:spPr>
        <a:noFill/>
        <a:ln>
          <a:noFill/>
        </a:ln>
      </c:spPr>
    </c:title>
    <c:plotArea>
      <c:layout>
        <c:manualLayout>
          <c:xMode val="edge"/>
          <c:yMode val="edge"/>
          <c:x val="0.05"/>
          <c:y val="0.07225"/>
          <c:w val="0.95"/>
          <c:h val="0.859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Data'!$D$37:$D$41</c:f>
              <c:numCache>
                <c:ptCount val="5"/>
                <c:pt idx="0">
                  <c:v>1</c:v>
                </c:pt>
                <c:pt idx="1">
                  <c:v>0</c:v>
                </c:pt>
                <c:pt idx="2">
                  <c:v>0</c:v>
                </c:pt>
                <c:pt idx="3">
                  <c:v>-0.27</c:v>
                </c:pt>
                <c:pt idx="4">
                  <c:v>-1</c:v>
                </c:pt>
              </c:numCache>
            </c:numRef>
          </c:xVal>
          <c:yVal>
            <c:numRef>
              <c:f>'Graph Data'!$E$37:$E$41</c:f>
              <c:numCache>
                <c:ptCount val="5"/>
                <c:pt idx="0">
                  <c:v>100</c:v>
                </c:pt>
                <c:pt idx="1">
                  <c:v>75</c:v>
                </c:pt>
                <c:pt idx="2">
                  <c:v>0</c:v>
                </c:pt>
                <c:pt idx="3">
                  <c:v>-75</c:v>
                </c:pt>
                <c:pt idx="4">
                  <c:v>-100</c:v>
                </c:pt>
              </c:numCache>
            </c:numRef>
          </c:yVal>
          <c:smooth val="1"/>
        </c:ser>
        <c:axId val="55735996"/>
        <c:axId val="31861917"/>
      </c:scatterChart>
      <c:valAx>
        <c:axId val="55735996"/>
        <c:scaling>
          <c:orientation val="maxMin"/>
          <c:max val="1"/>
          <c:min val="-1"/>
        </c:scaling>
        <c:axPos val="b"/>
        <c:title>
          <c:tx>
            <c:rich>
              <a:bodyPr vert="horz" rot="0" anchor="ctr"/>
              <a:lstStyle/>
              <a:p>
                <a:pPr algn="ctr">
                  <a:defRPr/>
                </a:pPr>
                <a:r>
                  <a:rPr lang="en-US" cap="none" sz="1000" b="1" i="0" u="none" baseline="0">
                    <a:solidFill>
                      <a:srgbClr val="000000"/>
                    </a:solidFill>
                    <a:latin typeface="Arial"/>
                    <a:ea typeface="Arial"/>
                    <a:cs typeface="Arial"/>
                  </a:rPr>
                  <a:t>Performance Against Target</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1861917"/>
        <c:crosses val="autoZero"/>
        <c:crossBetween val="midCat"/>
        <c:dispUnits/>
        <c:majorUnit val="0.25"/>
      </c:valAx>
      <c:valAx>
        <c:axId val="31861917"/>
        <c:scaling>
          <c:orientation val="minMax"/>
          <c:max val="100"/>
          <c:min val="-100"/>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£k</a:t>
                </a:r>
              </a:p>
            </c:rich>
          </c:tx>
          <c:layout>
            <c:manualLayout>
              <c:xMode val="factor"/>
              <c:yMode val="factor"/>
              <c:x val="0.2605"/>
              <c:y val="-0.0015"/>
            </c:manualLayout>
          </c:layout>
          <c:overlay val="0"/>
          <c:spPr>
            <a:noFill/>
            <a:ln>
              <a:noFill/>
            </a:ln>
          </c:spPr>
        </c:title>
        <c:majorGridlines>
          <c:spPr>
            <a:ln w="3175">
              <a:solidFill>
                <a:srgbClr val="C0C0C0"/>
              </a:solidFill>
            </a:ln>
          </c:spPr>
        </c:majorGridlines>
        <c:delete val="0"/>
        <c:numFmt formatCode="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5735996"/>
        <c:crossesAt val="0"/>
        <c:crossBetween val="midCat"/>
        <c:dispUnits/>
        <c:majorUnit val="25"/>
        <c:minorUnit val="5"/>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Incentive Revenue</a:t>
            </a:r>
          </a:p>
        </c:rich>
      </c:tx>
      <c:layout>
        <c:manualLayout>
          <c:xMode val="factor"/>
          <c:yMode val="factor"/>
          <c:x val="0"/>
          <c:y val="-0.01825"/>
        </c:manualLayout>
      </c:layout>
      <c:spPr>
        <a:noFill/>
        <a:ln>
          <a:noFill/>
        </a:ln>
      </c:spPr>
    </c:title>
    <c:plotArea>
      <c:layout>
        <c:manualLayout>
          <c:xMode val="edge"/>
          <c:yMode val="edge"/>
          <c:x val="0.0555"/>
          <c:y val="0.10475"/>
          <c:w val="0.91425"/>
          <c:h val="0.783"/>
        </c:manualLayout>
      </c:layout>
      <c:lineChart>
        <c:grouping val="standard"/>
        <c:varyColors val="0"/>
        <c:ser>
          <c:idx val="0"/>
          <c:order val="0"/>
          <c:tx>
            <c:strRef>
              <c:f>'Data Publication'!$C$83</c:f>
              <c:strCache>
                <c:ptCount val="1"/>
                <c:pt idx="0">
                  <c:v>Cumulative Availability - QWAIR</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Publication'!$E$83:$P$83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Publication'!$C$84</c:f>
              <c:strCache>
                <c:ptCount val="1"/>
                <c:pt idx="0">
                  <c:v>Cumulative Timeliness - QWTIR</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Publication'!$E$84:$P$84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18321798"/>
        <c:axId val="30678455"/>
      </c:lineChart>
      <c:catAx>
        <c:axId val="1832179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0678455"/>
        <c:crosses val="autoZero"/>
        <c:auto val="0"/>
        <c:lblOffset val="100"/>
        <c:tickLblSkip val="1"/>
        <c:noMultiLvlLbl val="0"/>
      </c:catAx>
      <c:valAx>
        <c:axId val="30678455"/>
        <c:scaling>
          <c:orientation val="minMax"/>
          <c:max val="62000"/>
          <c:min val="0"/>
        </c:scaling>
        <c:axPos val="l"/>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8321798"/>
        <c:crossesAt val="1"/>
        <c:crossBetween val="between"/>
        <c:dispUnits>
          <c:builtInUnit val="thousands"/>
          <c:dispUnitsLbl>
            <c:layout>
              <c:manualLayout>
                <c:xMode val="edge"/>
                <c:yMode val="edge"/>
                <c:x val="0"/>
                <c:y val="0.0337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808080"/>
          </a:solidFill>
        </a:ln>
      </c:spPr>
    </c:plotArea>
    <c:legend>
      <c:legendPos val="b"/>
      <c:layout>
        <c:manualLayout>
          <c:xMode val="edge"/>
          <c:yMode val="edge"/>
          <c:x val="0.1505"/>
          <c:y val="0.919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Timeliness</a:t>
            </a:r>
          </a:p>
        </c:rich>
      </c:tx>
      <c:layout>
        <c:manualLayout>
          <c:xMode val="factor"/>
          <c:yMode val="factor"/>
          <c:x val="0"/>
          <c:y val="-0.01825"/>
        </c:manualLayout>
      </c:layout>
      <c:spPr>
        <a:noFill/>
        <a:ln>
          <a:noFill/>
        </a:ln>
      </c:spPr>
    </c:title>
    <c:plotArea>
      <c:layout>
        <c:manualLayout>
          <c:xMode val="edge"/>
          <c:yMode val="edge"/>
          <c:x val="0.09575"/>
          <c:y val="0.09725"/>
          <c:w val="0.87075"/>
          <c:h val="0.72725"/>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7670640"/>
        <c:axId val="1926897"/>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Publication'!$E$94:$P$94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7670640"/>
        <c:axId val="1926897"/>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7670640"/>
        <c:axId val="1926897"/>
      </c:lineChart>
      <c:catAx>
        <c:axId val="767064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926897"/>
        <c:crosses val="autoZero"/>
        <c:auto val="0"/>
        <c:lblOffset val="100"/>
        <c:tickLblSkip val="1"/>
        <c:noMultiLvlLbl val="0"/>
      </c:catAx>
      <c:valAx>
        <c:axId val="1926897"/>
        <c:scaling>
          <c:orientation val="minMax"/>
          <c:min val="0.8"/>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7670640"/>
        <c:crossesAt val="1"/>
        <c:crossBetween val="between"/>
        <c:dispUnits/>
      </c:valAx>
      <c:spPr>
        <a:solidFill>
          <a:srgbClr val="FFFFFF"/>
        </a:solidFill>
      </c:spPr>
    </c:plotArea>
    <c:legend>
      <c:legendPos val="b"/>
      <c:legendEntry>
        <c:idx val="0"/>
        <c:delete val="1"/>
      </c:legendEntry>
      <c:layout>
        <c:manualLayout>
          <c:xMode val="edge"/>
          <c:yMode val="edge"/>
          <c:x val="0.14175"/>
          <c:y val="0.856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NTS Shrinkage Incentive</a:t>
            </a:r>
          </a:p>
        </c:rich>
      </c:tx>
      <c:layout>
        <c:manualLayout>
          <c:xMode val="factor"/>
          <c:yMode val="factor"/>
          <c:x val="-0.00325"/>
          <c:y val="-0.01875"/>
        </c:manualLayout>
      </c:layout>
      <c:spPr>
        <a:noFill/>
        <a:ln>
          <a:noFill/>
        </a:ln>
      </c:spPr>
    </c:title>
    <c:plotArea>
      <c:layout>
        <c:manualLayout>
          <c:xMode val="edge"/>
          <c:yMode val="edge"/>
          <c:x val="0.077"/>
          <c:y val="0.067"/>
          <c:w val="0.91675"/>
          <c:h val="0.841"/>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Data'!$D$109:$D$113</c:f>
              <c:numCache>
                <c:ptCount val="5"/>
                <c:pt idx="0">
                  <c:v>-25</c:v>
                </c:pt>
                <c:pt idx="1">
                  <c:v>-20</c:v>
                </c:pt>
                <c:pt idx="2">
                  <c:v>0</c:v>
                </c:pt>
                <c:pt idx="3">
                  <c:v>20</c:v>
                </c:pt>
                <c:pt idx="4">
                  <c:v>25</c:v>
                </c:pt>
              </c:numCache>
            </c:numRef>
          </c:xVal>
          <c:yVal>
            <c:numRef>
              <c:f>'Graph Data'!$E$109:$E$113</c:f>
              <c:numCache>
                <c:ptCount val="5"/>
                <c:pt idx="0">
                  <c:v>-4</c:v>
                </c:pt>
                <c:pt idx="1">
                  <c:v>-4</c:v>
                </c:pt>
                <c:pt idx="2">
                  <c:v>0</c:v>
                </c:pt>
                <c:pt idx="3">
                  <c:v>5</c:v>
                </c:pt>
                <c:pt idx="4">
                  <c:v>5</c:v>
                </c:pt>
              </c:numCache>
            </c:numRef>
          </c:yVal>
          <c:smooth val="1"/>
        </c:ser>
        <c:axId val="17342074"/>
        <c:axId val="21860939"/>
      </c:scatterChart>
      <c:valAx>
        <c:axId val="17342074"/>
        <c:scaling>
          <c:orientation val="maxMin"/>
        </c:scaling>
        <c:axPos val="b"/>
        <c:title>
          <c:tx>
            <c:rich>
              <a:bodyPr vert="horz" rot="0" anchor="ctr"/>
              <a:lstStyle/>
              <a:p>
                <a:pPr algn="ctr">
                  <a:defRPr/>
                </a:pPr>
                <a:r>
                  <a:rPr lang="en-US" cap="none" sz="1000" b="1" i="0" u="none" baseline="0">
                    <a:solidFill>
                      <a:srgbClr val="000000"/>
                    </a:solidFill>
                    <a:latin typeface="Arial"/>
                    <a:ea typeface="Arial"/>
                    <a:cs typeface="Arial"/>
                  </a:rPr>
                  <a:t>Cost target outperformance</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1860939"/>
        <c:crosses val="autoZero"/>
        <c:crossBetween val="midCat"/>
        <c:dispUnits/>
      </c:valAx>
      <c:valAx>
        <c:axId val="21860939"/>
        <c:scaling>
          <c:orientation val="minMax"/>
          <c:max val="6"/>
          <c:min val="-6"/>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26925"/>
              <c:y val="-0.005"/>
            </c:manualLayout>
          </c:layout>
          <c:overlay val="0"/>
          <c:spPr>
            <a:noFill/>
            <a:ln>
              <a:noFill/>
            </a:ln>
          </c:spPr>
        </c:title>
        <c:majorGridlines>
          <c:spPr>
            <a:ln w="3175">
              <a:solidFill>
                <a:srgbClr val="C0C0C0"/>
              </a:solidFill>
            </a:ln>
          </c:spPr>
        </c:majorGridlines>
        <c:delete val="0"/>
        <c:numFmt formatCode="#,##0.0;\(#,##0.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7342074"/>
        <c:crosses val="autoZero"/>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Gas - Cumulative Volume
Outturn vs Target</a:t>
            </a:r>
          </a:p>
        </c:rich>
      </c:tx>
      <c:layout>
        <c:manualLayout>
          <c:xMode val="factor"/>
          <c:yMode val="factor"/>
          <c:x val="0"/>
          <c:y val="-0.0205"/>
        </c:manualLayout>
      </c:layout>
      <c:spPr>
        <a:noFill/>
        <a:ln>
          <a:noFill/>
        </a:ln>
      </c:spPr>
    </c:title>
    <c:plotArea>
      <c:layout>
        <c:manualLayout>
          <c:xMode val="edge"/>
          <c:yMode val="edge"/>
          <c:x val="0.03225"/>
          <c:y val="0.13575"/>
          <c:w val="0.95825"/>
          <c:h val="0.7635"/>
        </c:manualLayout>
      </c:layout>
      <c:barChart>
        <c:barDir val="col"/>
        <c:grouping val="clustered"/>
        <c:varyColors val="0"/>
        <c:ser>
          <c:idx val="1"/>
          <c:order val="0"/>
          <c:tx>
            <c:strRef>
              <c:f>Shrinkage!$B$81</c:f>
              <c:strCache>
                <c:ptCount val="1"/>
                <c:pt idx="0">
                  <c:v>Cumulative Outturn</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Shrinkage!$C$78:$N$79</c:f>
              <c:multiLvlStrCache/>
            </c:multiLvlStrRef>
          </c:cat>
          <c:val>
            <c:numRef>
              <c:f>Shrinkage!$C$81:$N$81</c:f>
              <c:numCache/>
            </c:numRef>
          </c:val>
        </c:ser>
        <c:axId val="62530724"/>
        <c:axId val="25905605"/>
      </c:barChart>
      <c:lineChart>
        <c:grouping val="standard"/>
        <c:varyColors val="0"/>
        <c:ser>
          <c:idx val="0"/>
          <c:order val="1"/>
          <c:tx>
            <c:strRef>
              <c:f>Shrinkage!$B$83</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val>
            <c:numRef>
              <c:f>Shrinkage!$C$83:$N$83</c:f>
              <c:numCache/>
            </c:numRef>
          </c:val>
          <c:smooth val="0"/>
        </c:ser>
        <c:axId val="31823854"/>
        <c:axId val="17979231"/>
      </c:lineChart>
      <c:catAx>
        <c:axId val="6253072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5905605"/>
        <c:crosses val="autoZero"/>
        <c:auto val="0"/>
        <c:lblOffset val="100"/>
        <c:tickLblSkip val="1"/>
        <c:noMultiLvlLbl val="0"/>
      </c:catAx>
      <c:valAx>
        <c:axId val="25905605"/>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2530724"/>
        <c:crossesAt val="1"/>
        <c:crossBetween val="between"/>
        <c:dispUnits/>
      </c:valAx>
      <c:catAx>
        <c:axId val="31823854"/>
        <c:scaling>
          <c:orientation val="minMax"/>
        </c:scaling>
        <c:axPos val="b"/>
        <c:delete val="1"/>
        <c:majorTickMark val="in"/>
        <c:minorTickMark val="none"/>
        <c:tickLblPos val="nextTo"/>
        <c:crossAx val="17979231"/>
        <c:crosses val="autoZero"/>
        <c:auto val="0"/>
        <c:lblOffset val="100"/>
        <c:tickLblSkip val="1"/>
        <c:noMultiLvlLbl val="0"/>
      </c:catAx>
      <c:valAx>
        <c:axId val="17979231"/>
        <c:scaling>
          <c:orientation val="minMax"/>
        </c:scaling>
        <c:axPos val="l"/>
        <c:delete val="1"/>
        <c:majorTickMark val="in"/>
        <c:minorTickMark val="none"/>
        <c:tickLblPos val="nextTo"/>
        <c:crossAx val="31823854"/>
        <c:crossesAt val="1"/>
        <c:crossBetween val="between"/>
        <c:dispUnits/>
      </c:valAx>
      <c:spPr>
        <a:noFill/>
        <a:ln w="12700">
          <a:solidFill>
            <a:srgbClr val="808080"/>
          </a:solidFill>
        </a:ln>
      </c:spPr>
    </c:plotArea>
    <c:legend>
      <c:legendPos val="b"/>
      <c:layout>
        <c:manualLayout>
          <c:xMode val="edge"/>
          <c:yMode val="edge"/>
          <c:x val="0.18775"/>
          <c:y val="0.928"/>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Electric Compressor Energy - Cumulative Volume
Target vs Outturn</a:t>
            </a:r>
          </a:p>
        </c:rich>
      </c:tx>
      <c:layout>
        <c:manualLayout>
          <c:xMode val="factor"/>
          <c:yMode val="factor"/>
          <c:x val="0"/>
          <c:y val="-0.0205"/>
        </c:manualLayout>
      </c:layout>
      <c:spPr>
        <a:noFill/>
        <a:ln>
          <a:noFill/>
        </a:ln>
      </c:spPr>
    </c:title>
    <c:plotArea>
      <c:layout>
        <c:manualLayout>
          <c:xMode val="edge"/>
          <c:yMode val="edge"/>
          <c:x val="0.032"/>
          <c:y val="0.15725"/>
          <c:w val="0.958"/>
          <c:h val="0.742"/>
        </c:manualLayout>
      </c:layout>
      <c:barChart>
        <c:barDir val="col"/>
        <c:grouping val="clustered"/>
        <c:varyColors val="0"/>
        <c:ser>
          <c:idx val="1"/>
          <c:order val="0"/>
          <c:tx>
            <c:strRef>
              <c:f>Shrinkage!$B$111</c:f>
              <c:strCache>
                <c:ptCount val="1"/>
                <c:pt idx="0">
                  <c:v>Outturn -Shrinkage Electricity (GWh)</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Shrinkage!$C$109:$N$110</c:f>
              <c:multiLvlStrCache/>
            </c:multiLvlStrRef>
          </c:cat>
          <c:val>
            <c:numRef>
              <c:f>Shrinkage!$C$111:$N$111</c:f>
              <c:numCache/>
            </c:numRef>
          </c:val>
        </c:ser>
        <c:axId val="27595352"/>
        <c:axId val="47031577"/>
      </c:barChart>
      <c:lineChart>
        <c:grouping val="standard"/>
        <c:varyColors val="0"/>
        <c:ser>
          <c:idx val="0"/>
          <c:order val="1"/>
          <c:tx>
            <c:strRef>
              <c:f>Shrinkage!$B$114</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dPt>
            <c:idx val="1"/>
            <c:spPr>
              <a:ln w="12700">
                <a:solidFill>
                  <a:srgbClr val="99CC12"/>
                </a:solidFill>
                <a:prstDash val="sysDot"/>
              </a:ln>
            </c:spPr>
            <c:marker>
              <c:symbol val="none"/>
            </c:marker>
          </c:dPt>
          <c:val>
            <c:numRef>
              <c:f>Shrinkage!$C$114:$N$114</c:f>
              <c:numCache/>
            </c:numRef>
          </c:val>
          <c:smooth val="0"/>
        </c:ser>
        <c:axId val="20631010"/>
        <c:axId val="51461363"/>
      </c:lineChart>
      <c:catAx>
        <c:axId val="2759535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7031577"/>
        <c:crosses val="autoZero"/>
        <c:auto val="0"/>
        <c:lblOffset val="100"/>
        <c:tickLblSkip val="1"/>
        <c:noMultiLvlLbl val="0"/>
      </c:catAx>
      <c:valAx>
        <c:axId val="47031577"/>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7595352"/>
        <c:crossesAt val="1"/>
        <c:crossBetween val="between"/>
        <c:dispUnits/>
      </c:valAx>
      <c:catAx>
        <c:axId val="20631010"/>
        <c:scaling>
          <c:orientation val="minMax"/>
        </c:scaling>
        <c:axPos val="b"/>
        <c:delete val="1"/>
        <c:majorTickMark val="in"/>
        <c:minorTickMark val="none"/>
        <c:tickLblPos val="nextTo"/>
        <c:crossAx val="51461363"/>
        <c:crosses val="autoZero"/>
        <c:auto val="0"/>
        <c:lblOffset val="100"/>
        <c:tickLblSkip val="1"/>
        <c:noMultiLvlLbl val="0"/>
      </c:catAx>
      <c:valAx>
        <c:axId val="51461363"/>
        <c:scaling>
          <c:orientation val="minMax"/>
        </c:scaling>
        <c:axPos val="l"/>
        <c:delete val="1"/>
        <c:majorTickMark val="in"/>
        <c:minorTickMark val="none"/>
        <c:tickLblPos val="nextTo"/>
        <c:crossAx val="20631010"/>
        <c:crossesAt val="1"/>
        <c:crossBetween val="between"/>
        <c:dispUnits/>
      </c:valAx>
      <c:spPr>
        <a:noFill/>
        <a:ln w="12700">
          <a:solidFill>
            <a:srgbClr val="808080"/>
          </a:solidFill>
        </a:ln>
      </c:spPr>
    </c:plotArea>
    <c:legend>
      <c:legendPos val="b"/>
      <c:layout>
        <c:manualLayout>
          <c:xMode val="edge"/>
          <c:yMode val="edge"/>
          <c:x val="0.093"/>
          <c:y val="0.9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Shrinkage Incentive Costs</a:t>
            </a:r>
          </a:p>
        </c:rich>
      </c:tx>
      <c:layout>
        <c:manualLayout>
          <c:xMode val="factor"/>
          <c:yMode val="factor"/>
          <c:x val="0"/>
          <c:y val="-0.0205"/>
        </c:manualLayout>
      </c:layout>
      <c:spPr>
        <a:noFill/>
        <a:ln>
          <a:noFill/>
        </a:ln>
      </c:spPr>
    </c:title>
    <c:plotArea>
      <c:layout>
        <c:manualLayout>
          <c:xMode val="edge"/>
          <c:yMode val="edge"/>
          <c:x val="0.02525"/>
          <c:y val="0.07725"/>
          <c:w val="0.969"/>
          <c:h val="0.837"/>
        </c:manualLayout>
      </c:layout>
      <c:areaChart>
        <c:grouping val="stacked"/>
        <c:varyColors val="0"/>
        <c:ser>
          <c:idx val="2"/>
          <c:order val="2"/>
          <c:tx>
            <c:strRef>
              <c:f>Shrinkage!$B$38</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multiLvlStrRef>
          </c:cat>
          <c:val>
            <c:numRef>
              <c:f>Shrinkage!$C$38:$N$38</c:f>
              <c:numCache/>
            </c:numRef>
          </c:val>
        </c:ser>
        <c:ser>
          <c:idx val="3"/>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axId val="60499084"/>
        <c:axId val="7620845"/>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Shrinkage!$C$34:$N$34</c:f>
              <c:numCache/>
            </c:numRef>
          </c:val>
        </c:ser>
        <c:axId val="60499084"/>
        <c:axId val="7620845"/>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8981D"/>
              </a:solidFill>
              <a:ln>
                <a:solidFill>
                  <a:srgbClr val="F8981D"/>
                </a:solidFill>
              </a:ln>
            </c:spPr>
          </c:marker>
          <c:cat>
            <c:multiLvlStrRef>
              <c:f>Shrinkage!$C$31:$N$32</c:f>
              <c:multiLvlStrCache/>
            </c:multiLvlStrRef>
          </c:cat>
          <c:val>
            <c:numRef>
              <c:f>Shrinkage!$C$36:$N$36</c:f>
              <c:numCache/>
            </c:numRef>
          </c:val>
          <c:smooth val="0"/>
        </c:ser>
        <c:axId val="60499084"/>
        <c:axId val="7620845"/>
      </c:lineChart>
      <c:catAx>
        <c:axId val="6049908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7620845"/>
        <c:crosses val="autoZero"/>
        <c:auto val="0"/>
        <c:lblOffset val="100"/>
        <c:tickLblSkip val="1"/>
        <c:noMultiLvlLbl val="0"/>
      </c:catAx>
      <c:valAx>
        <c:axId val="7620845"/>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025"/>
              <c:y val="-0.017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0499084"/>
        <c:crossesAt val="1"/>
        <c:crossBetween val="between"/>
        <c:dispUnits/>
        <c:majorUnit val="20"/>
        <c:minorUnit val="4"/>
      </c:valAx>
      <c:spPr>
        <a:noFill/>
        <a:ln w="12700">
          <a:solidFill>
            <a:srgbClr val="808080"/>
          </a:solidFill>
        </a:ln>
      </c:spPr>
    </c:plotArea>
    <c:legend>
      <c:legendPos val="b"/>
      <c:legendEntry>
        <c:idx val="0"/>
        <c:delete val="1"/>
      </c:legendEntry>
      <c:layout>
        <c:manualLayout>
          <c:xMode val="edge"/>
          <c:yMode val="edge"/>
          <c:x val="0"/>
          <c:y val="0.939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Operating Margin Costs</a:t>
            </a:r>
          </a:p>
        </c:rich>
      </c:tx>
      <c:layout/>
      <c:spPr>
        <a:noFill/>
        <a:ln>
          <a:noFill/>
        </a:ln>
      </c:spPr>
    </c:title>
    <c:plotArea>
      <c:layout>
        <c:manualLayout>
          <c:xMode val="edge"/>
          <c:yMode val="edge"/>
          <c:x val="0.02075"/>
          <c:y val="0.08825"/>
          <c:w val="0.97875"/>
          <c:h val="0.821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1478742"/>
        <c:axId val="13308679"/>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Margin'!$C$57:$C$68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axId val="1478742"/>
        <c:axId val="13308679"/>
      </c:barChart>
      <c:lineChart>
        <c:grouping val="standard"/>
        <c:varyColors val="0"/>
        <c:ser>
          <c:idx val="2"/>
          <c:order val="2"/>
          <c:tx>
            <c:strRef>
              <c:f>'Graph Data'!$C$61</c:f>
              <c:strCache>
                <c:ptCount val="1"/>
                <c:pt idx="0">
                  <c:v>Monthly Target</c:v>
                </c:pt>
              </c:strCache>
            </c:strRef>
          </c:tx>
          <c:spPr>
            <a:ln w="381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1478742"/>
        <c:axId val="13308679"/>
      </c:lineChart>
      <c:dateAx>
        <c:axId val="147874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3308679"/>
        <c:crosses val="autoZero"/>
        <c:auto val="0"/>
        <c:noMultiLvlLbl val="0"/>
      </c:dateAx>
      <c:valAx>
        <c:axId val="13308679"/>
        <c:scaling>
          <c:orientation val="minMax"/>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478742"/>
        <c:crossesAt val="1"/>
        <c:crossBetween val="between"/>
        <c:dispUnits/>
      </c:valAx>
      <c:spPr>
        <a:solidFill>
          <a:srgbClr val="FFFFFF"/>
        </a:solidFill>
        <a:ln w="12700">
          <a:solidFill>
            <a:srgbClr val="808080"/>
          </a:solidFill>
        </a:ln>
      </c:spPr>
    </c:plotArea>
    <c:legend>
      <c:legendPos val="b"/>
      <c:legendEntry>
        <c:idx val="0"/>
        <c:delete val="1"/>
      </c:legendEntry>
      <c:layout>
        <c:manualLayout>
          <c:xMode val="edge"/>
          <c:yMode val="edge"/>
          <c:x val="0.239"/>
          <c:y val="0.92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Volume of Operating Margins</a:t>
            </a:r>
          </a:p>
        </c:rich>
      </c:tx>
      <c:layout/>
      <c:spPr>
        <a:noFill/>
        <a:ln>
          <a:noFill/>
        </a:ln>
      </c:spPr>
    </c:title>
    <c:plotArea>
      <c:layout>
        <c:manualLayout>
          <c:xMode val="edge"/>
          <c:yMode val="edge"/>
          <c:x val="0.03175"/>
          <c:y val="0.08475"/>
          <c:w val="0.96825"/>
          <c:h val="0.83675"/>
        </c:manualLayout>
      </c:layout>
      <c:barChart>
        <c:barDir val="col"/>
        <c:grouping val="clustered"/>
        <c:varyColors val="0"/>
        <c:ser>
          <c:idx val="0"/>
          <c:order val="0"/>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Margin'!$E$57:$E$68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2669248"/>
        <c:axId val="4261185"/>
      </c:barChart>
      <c:dateAx>
        <c:axId val="52669248"/>
        <c:scaling>
          <c:orientation val="minMax"/>
        </c:scaling>
        <c:axPos val="b"/>
        <c:delete val="0"/>
        <c:numFmt formatCode="General" sourceLinked="1"/>
        <c:majorTickMark val="out"/>
        <c:minorTickMark val="none"/>
        <c:tickLblPos val="nextTo"/>
        <c:txPr>
          <a:bodyPr vert="horz" rot="-5400000"/>
          <a:lstStyle/>
          <a:p>
            <a:pPr>
              <a:defRPr lang="en-US" cap="none" sz="950" b="0" i="0" u="none" baseline="0">
                <a:latin typeface="Arial"/>
                <a:ea typeface="Arial"/>
                <a:cs typeface="Arial"/>
              </a:defRPr>
            </a:pPr>
          </a:p>
        </c:txPr>
        <c:crossAx val="4261185"/>
        <c:crosses val="autoZero"/>
        <c:auto val="0"/>
        <c:noMultiLvlLbl val="0"/>
      </c:dateAx>
      <c:valAx>
        <c:axId val="4261185"/>
        <c:scaling>
          <c:orientation val="minMax"/>
        </c:scaling>
        <c:axPos val="l"/>
        <c:title>
          <c:tx>
            <c:rich>
              <a:bodyPr vert="horz" rot="-5400000" anchor="ctr"/>
              <a:lstStyle/>
              <a:p>
                <a:pPr algn="ctr">
                  <a:defRPr/>
                </a:pPr>
                <a:r>
                  <a:rPr lang="en-US" cap="none" sz="1050" b="1" i="0" u="none" baseline="0">
                    <a:latin typeface="Arial"/>
                    <a:ea typeface="Arial"/>
                    <a:cs typeface="Arial"/>
                  </a:rPr>
                  <a:t>Gas held (GWh)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50" b="0" i="0" u="none" baseline="0">
                <a:latin typeface="Arial"/>
                <a:ea typeface="Arial"/>
                <a:cs typeface="Arial"/>
              </a:defRPr>
            </a:pPr>
          </a:p>
        </c:txPr>
        <c:crossAx val="52669248"/>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04475"/>
          <c:y val="0.1055"/>
          <c:w val="0.94975"/>
          <c:h val="0.835"/>
        </c:manualLayout>
      </c:layout>
      <c:scatterChart>
        <c:scatterStyle val="line"/>
        <c:varyColors val="0"/>
        <c:ser>
          <c:idx val="0"/>
          <c:order val="0"/>
          <c:tx>
            <c:v>Operating Margins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Data'!$G$55:$G$59</c:f>
              <c:numCache>
                <c:ptCount val="5"/>
                <c:pt idx="0">
                  <c:v>0</c:v>
                </c:pt>
                <c:pt idx="1">
                  <c:v>12.4</c:v>
                </c:pt>
                <c:pt idx="2">
                  <c:v>17.32</c:v>
                </c:pt>
                <c:pt idx="3">
                  <c:v>22.4</c:v>
                </c:pt>
                <c:pt idx="4">
                  <c:v>40</c:v>
                </c:pt>
              </c:numCache>
            </c:numRef>
          </c:xVal>
          <c:yVal>
            <c:numRef>
              <c:f>'Graph Data'!$H$55:$H$59</c:f>
              <c:numCache>
                <c:ptCount val="5"/>
                <c:pt idx="0">
                  <c:v>1</c:v>
                </c:pt>
                <c:pt idx="1">
                  <c:v>1</c:v>
                </c:pt>
                <c:pt idx="2">
                  <c:v>0</c:v>
                </c:pt>
                <c:pt idx="3">
                  <c:v>-1</c:v>
                </c:pt>
                <c:pt idx="4">
                  <c:v>-1</c:v>
                </c:pt>
              </c:numCache>
            </c:numRef>
          </c:yVal>
          <c:smooth val="0"/>
        </c:ser>
        <c:axId val="38350666"/>
        <c:axId val="9611675"/>
      </c:scatterChart>
      <c:valAx>
        <c:axId val="38350666"/>
        <c:scaling>
          <c:orientation val="minMax"/>
          <c:max val="25"/>
          <c:min val="10"/>
        </c:scaling>
        <c:axPos val="b"/>
        <c:title>
          <c:tx>
            <c:rich>
              <a:bodyPr vert="horz" rot="0" anchor="ctr"/>
              <a:lstStyle/>
              <a:p>
                <a:pPr algn="ctr">
                  <a:defRPr/>
                </a:pPr>
                <a:r>
                  <a:rPr lang="en-US" cap="none" sz="1025" b="1" i="0" u="none" baseline="0">
                    <a:latin typeface="Arial"/>
                    <a:ea typeface="Arial"/>
                    <a:cs typeface="Arial"/>
                  </a:rPr>
                  <a:t>OM 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low"/>
        <c:txPr>
          <a:bodyPr/>
          <a:lstStyle/>
          <a:p>
            <a:pPr>
              <a:defRPr lang="en-US" cap="none" sz="825" b="1" i="0" u="none" baseline="0">
                <a:latin typeface="Arial"/>
                <a:ea typeface="Arial"/>
                <a:cs typeface="Arial"/>
              </a:defRPr>
            </a:pPr>
          </a:p>
        </c:txPr>
        <c:crossAx val="9611675"/>
        <c:crosses val="autoZero"/>
        <c:crossBetween val="midCat"/>
        <c:dispUnits/>
        <c:majorUnit val="1"/>
      </c:valAx>
      <c:valAx>
        <c:axId val="9611675"/>
        <c:scaling>
          <c:orientation val="minMax"/>
        </c:scaling>
        <c:axPos val="l"/>
        <c:title>
          <c:tx>
            <c:rich>
              <a:bodyPr vert="horz" rot="-5400000" anchor="ctr"/>
              <a:lstStyle/>
              <a:p>
                <a:pPr algn="ctr">
                  <a:defRPr/>
                </a:pPr>
                <a:r>
                  <a:rPr lang="en-US" cap="none" sz="1025" b="1" i="0" u="none" baseline="0">
                    <a:latin typeface="Arial"/>
                    <a:ea typeface="Arial"/>
                    <a:cs typeface="Arial"/>
                  </a:rPr>
                  <a:t>Incentive Payment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38350666"/>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c:spPr>
  <c:txPr>
    <a:bodyPr vert="horz" rot="0"/>
    <a:lstStyle/>
    <a:p>
      <a:pPr>
        <a:defRPr lang="en-US" cap="none" sz="8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Availability Performance</a:t>
            </a:r>
          </a:p>
        </c:rich>
      </c:tx>
      <c:layout>
        <c:manualLayout>
          <c:xMode val="factor"/>
          <c:yMode val="factor"/>
          <c:x val="0"/>
          <c:y val="-0.01825"/>
        </c:manualLayout>
      </c:layout>
      <c:spPr>
        <a:noFill/>
        <a:ln>
          <a:noFill/>
        </a:ln>
      </c:spPr>
    </c:title>
    <c:plotArea>
      <c:layout>
        <c:manualLayout>
          <c:xMode val="edge"/>
          <c:yMode val="edge"/>
          <c:x val="0.117"/>
          <c:y val="0.1085"/>
          <c:w val="0.84975"/>
          <c:h val="0.6615"/>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46659304"/>
        <c:axId val="17280553"/>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Publication'!$E$88:$P$88</c:f>
              <c:numCache>
                <c:ptCount val="12"/>
                <c:pt idx="0">
                  <c:v>161.66666666666666</c:v>
                </c:pt>
                <c:pt idx="1">
                  <c:v>490</c:v>
                </c:pt>
                <c:pt idx="2">
                  <c:v>708</c:v>
                </c:pt>
                <c:pt idx="3">
                  <c:v>0</c:v>
                </c:pt>
                <c:pt idx="4">
                  <c:v>0</c:v>
                </c:pt>
                <c:pt idx="5">
                  <c:v>0</c:v>
                </c:pt>
                <c:pt idx="6">
                  <c:v>0</c:v>
                </c:pt>
                <c:pt idx="7">
                  <c:v>0</c:v>
                </c:pt>
                <c:pt idx="8">
                  <c:v>0</c:v>
                </c:pt>
                <c:pt idx="9">
                  <c:v>0</c:v>
                </c:pt>
                <c:pt idx="10">
                  <c:v>0</c:v>
                </c:pt>
                <c:pt idx="11">
                  <c:v>0</c:v>
                </c:pt>
              </c:numCache>
            </c:numRef>
          </c:val>
        </c:ser>
        <c:axId val="46659304"/>
        <c:axId val="17280553"/>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302</c:v>
                </c:pt>
                <c:pt idx="1">
                  <c:v>312</c:v>
                </c:pt>
                <c:pt idx="2">
                  <c:v>302</c:v>
                </c:pt>
                <c:pt idx="3">
                  <c:v>312</c:v>
                </c:pt>
                <c:pt idx="4">
                  <c:v>312</c:v>
                </c:pt>
                <c:pt idx="5">
                  <c:v>302</c:v>
                </c:pt>
                <c:pt idx="6">
                  <c:v>312</c:v>
                </c:pt>
                <c:pt idx="7">
                  <c:v>302</c:v>
                </c:pt>
                <c:pt idx="8">
                  <c:v>312</c:v>
                </c:pt>
                <c:pt idx="9">
                  <c:v>312</c:v>
                </c:pt>
                <c:pt idx="10">
                  <c:v>282</c:v>
                </c:pt>
                <c:pt idx="11">
                  <c:v>312</c:v>
                </c:pt>
              </c:numCache>
            </c:numRef>
          </c:val>
          <c:smooth val="0"/>
        </c:ser>
        <c:axId val="46659304"/>
        <c:axId val="17280553"/>
      </c:lineChart>
      <c:catAx>
        <c:axId val="4665930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7280553"/>
        <c:crosses val="autoZero"/>
        <c:auto val="0"/>
        <c:lblOffset val="100"/>
        <c:tickLblSkip val="1"/>
        <c:noMultiLvlLbl val="0"/>
      </c:catAx>
      <c:valAx>
        <c:axId val="17280553"/>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6659304"/>
        <c:crossesAt val="1"/>
        <c:crossBetween val="between"/>
        <c:dispUnits/>
      </c:valAx>
      <c:spPr>
        <a:solidFill>
          <a:srgbClr val="FFFFFF"/>
        </a:solidFill>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Monthly Incentive Performance</a:t>
            </a:r>
          </a:p>
        </c:rich>
      </c:tx>
      <c:layout/>
      <c:spPr>
        <a:noFill/>
        <a:ln>
          <a:noFill/>
        </a:ln>
      </c:spPr>
    </c:title>
    <c:plotArea>
      <c:layout>
        <c:manualLayout>
          <c:xMode val="edge"/>
          <c:yMode val="edge"/>
          <c:x val="0.0365"/>
          <c:y val="0.1215"/>
          <c:w val="0.927"/>
          <c:h val="0.74775"/>
        </c:manualLayout>
      </c:layout>
      <c:barChart>
        <c:barDir val="col"/>
        <c:grouping val="clustered"/>
        <c:varyColors val="0"/>
        <c:ser>
          <c:idx val="1"/>
          <c:order val="0"/>
          <c:tx>
            <c:strRef>
              <c:f>'Residual Balancing'!$E$83</c:f>
              <c:strCache>
                <c:ptCount val="1"/>
                <c:pt idx="0">
                  <c:v>Sum of DPIP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Balancing'!$E$84:$E$95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19396212"/>
        <c:axId val="40348181"/>
      </c:barChart>
      <c:lineChart>
        <c:grouping val="standard"/>
        <c:varyColors val="0"/>
        <c:ser>
          <c:idx val="0"/>
          <c:order val="1"/>
          <c:tx>
            <c:strRef>
              <c:f>'Residual Balancing'!$F$83</c:f>
              <c:strCache>
                <c:ptCount val="1"/>
                <c:pt idx="0">
                  <c:v>Cumulative Sum of DPIP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Balancing'!$F$84:$F$86</c:f>
              <c:numCache>
                <c:ptCount val="3"/>
                <c:pt idx="0">
                  <c:v>0</c:v>
                </c:pt>
                <c:pt idx="1">
                  <c:v>0</c:v>
                </c:pt>
                <c:pt idx="2">
                  <c:v>0</c:v>
                </c:pt>
              </c:numCache>
            </c:numRef>
          </c:val>
          <c:smooth val="0"/>
        </c:ser>
        <c:axId val="27589310"/>
        <c:axId val="46977199"/>
      </c:lineChart>
      <c:catAx>
        <c:axId val="19396212"/>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40348181"/>
        <c:crosses val="autoZero"/>
        <c:auto val="0"/>
        <c:lblOffset val="100"/>
        <c:tickLblSkip val="1"/>
        <c:noMultiLvlLbl val="0"/>
      </c:catAx>
      <c:valAx>
        <c:axId val="40348181"/>
        <c:scaling>
          <c:orientation val="minMax"/>
        </c:scaling>
        <c:axPos val="l"/>
        <c:title>
          <c:tx>
            <c:rich>
              <a:bodyPr vert="horz" rot="-5400000" anchor="ctr"/>
              <a:lstStyle/>
              <a:p>
                <a:pPr algn="ctr">
                  <a:defRPr/>
                </a:pPr>
                <a:r>
                  <a:rPr lang="en-US" cap="none" sz="1000" b="1" i="0" u="none" baseline="0">
                    <a:latin typeface="Arial"/>
                    <a:ea typeface="Arial"/>
                    <a:cs typeface="Arial"/>
                  </a:rPr>
                  <a:t>Monthly DPIP (£k)</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9396212"/>
        <c:crossesAt val="1"/>
        <c:crossBetween val="between"/>
        <c:dispUnits/>
      </c:valAx>
      <c:catAx>
        <c:axId val="27589310"/>
        <c:scaling>
          <c:orientation val="minMax"/>
        </c:scaling>
        <c:axPos val="b"/>
        <c:delete val="1"/>
        <c:majorTickMark val="in"/>
        <c:minorTickMark val="none"/>
        <c:tickLblPos val="nextTo"/>
        <c:crossAx val="46977199"/>
        <c:crosses val="autoZero"/>
        <c:auto val="0"/>
        <c:lblOffset val="100"/>
        <c:tickLblSkip val="1"/>
        <c:noMultiLvlLbl val="0"/>
      </c:catAx>
      <c:valAx>
        <c:axId val="46977199"/>
        <c:scaling>
          <c:orientation val="minMax"/>
        </c:scaling>
        <c:axPos val="l"/>
        <c:title>
          <c:tx>
            <c:rich>
              <a:bodyPr vert="horz" rot="-5400000" anchor="ctr"/>
              <a:lstStyle/>
              <a:p>
                <a:pPr algn="ctr">
                  <a:defRPr/>
                </a:pPr>
                <a:r>
                  <a:rPr lang="en-US" cap="none" sz="1000" b="1" i="0" u="none" baseline="0">
                    <a:latin typeface="Arial"/>
                    <a:ea typeface="Arial"/>
                    <a:cs typeface="Arial"/>
                  </a:rPr>
                  <a:t>Cumulative DPIP (£m)</a:t>
                </a:r>
              </a:p>
            </c:rich>
          </c:tx>
          <c:layout>
            <c:manualLayout>
              <c:xMode val="factor"/>
              <c:yMode val="factor"/>
              <c:x val="0"/>
              <c:y val="-0.0032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7589310"/>
        <c:crosses val="max"/>
        <c:crossBetween val="between"/>
        <c:dispUnits/>
      </c:valAx>
      <c:spPr>
        <a:noFill/>
      </c:spPr>
    </c:plotArea>
    <c:legend>
      <c:legendPos val="b"/>
      <c:layout>
        <c:manualLayout>
          <c:xMode val="edge"/>
          <c:yMode val="edge"/>
          <c:x val="0.20725"/>
          <c:y val="0.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PPM Performance</a:t>
            </a:r>
          </a:p>
        </c:rich>
      </c:tx>
      <c:layout>
        <c:manualLayout>
          <c:xMode val="factor"/>
          <c:yMode val="factor"/>
          <c:x val="0"/>
          <c:y val="-0.0035"/>
        </c:manualLayout>
      </c:layout>
      <c:spPr>
        <a:noFill/>
        <a:ln>
          <a:noFill/>
        </a:ln>
      </c:spPr>
    </c:title>
    <c:plotArea>
      <c:layout>
        <c:manualLayout>
          <c:xMode val="edge"/>
          <c:yMode val="edge"/>
          <c:x val="0.0345"/>
          <c:y val="0.123"/>
          <c:w val="0.94975"/>
          <c:h val="0.7555"/>
        </c:manualLayout>
      </c:layout>
      <c:lineChart>
        <c:grouping val="standard"/>
        <c:varyColors val="0"/>
        <c:ser>
          <c:idx val="0"/>
          <c:order val="0"/>
          <c:tx>
            <c:strRef>
              <c:f>'Residual Balancing'!$H$83</c:f>
              <c:strCache>
                <c:ptCount val="1"/>
                <c:pt idx="0">
                  <c:v>Min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Balancing'!$H$84:$H$95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'Residual Balancing'!$I$83</c:f>
              <c:strCache>
                <c:ptCount val="1"/>
                <c:pt idx="0">
                  <c:v>Max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Balancing'!$I$84:$I$95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'Residual Balancing'!$G$83</c:f>
              <c:strCache>
                <c:ptCount val="1"/>
                <c:pt idx="0">
                  <c:v>Average Monthly PPM (%)</c:v>
                </c:pt>
              </c:strCache>
            </c:strRef>
          </c:tx>
          <c:spPr>
            <a:ln w="25400">
              <a:solidFill>
                <a:srgbClr val="FCD63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CD63E"/>
              </a:solidFill>
              <a:ln>
                <a:solidFill>
                  <a:srgbClr val="FCD63E"/>
                </a:solidFill>
              </a:ln>
            </c:spPr>
          </c:marker>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ln>
          </c:spPr>
        </c:hiLowLines>
        <c:axId val="20141608"/>
        <c:axId val="47056745"/>
      </c:lineChart>
      <c:catAx>
        <c:axId val="20141608"/>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47056745"/>
        <c:crosses val="autoZero"/>
        <c:auto val="0"/>
        <c:lblOffset val="100"/>
        <c:tickLblSkip val="1"/>
        <c:noMultiLvlLbl val="0"/>
      </c:catAx>
      <c:valAx>
        <c:axId val="47056745"/>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20141608"/>
        <c:crossesAt val="1"/>
        <c:crossBetween val="between"/>
        <c:dispUnits/>
      </c:valAx>
      <c:spPr>
        <a:noFill/>
      </c:spPr>
    </c:plotArea>
    <c:legend>
      <c:legendPos val="b"/>
      <c:layout>
        <c:manualLayout>
          <c:xMode val="edge"/>
          <c:yMode val="edge"/>
          <c:x val="0.1472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Incentive Performance</a:t>
            </a:r>
          </a:p>
        </c:rich>
      </c:tx>
      <c:layout/>
      <c:spPr>
        <a:noFill/>
        <a:ln>
          <a:noFill/>
        </a:ln>
      </c:spPr>
    </c:title>
    <c:plotArea>
      <c:layout>
        <c:manualLayout>
          <c:xMode val="edge"/>
          <c:yMode val="edge"/>
          <c:x val="0.04075"/>
          <c:y val="0.1485"/>
          <c:w val="0.901"/>
          <c:h val="0.722"/>
        </c:manualLayout>
      </c:layout>
      <c:barChart>
        <c:barDir val="col"/>
        <c:grouping val="clustered"/>
        <c:varyColors val="0"/>
        <c:ser>
          <c:idx val="1"/>
          <c:order val="0"/>
          <c:tx>
            <c:strRef>
              <c:f>'Residual Balancing'!$L$83</c:f>
              <c:strCache>
                <c:ptCount val="1"/>
                <c:pt idx="0">
                  <c:v>Sum of DLIP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Balancing'!$L$84:$L$95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20857522"/>
        <c:axId val="53499971"/>
      </c:barChart>
      <c:lineChart>
        <c:grouping val="standard"/>
        <c:varyColors val="0"/>
        <c:ser>
          <c:idx val="0"/>
          <c:order val="1"/>
          <c:tx>
            <c:strRef>
              <c:f>'Residual Balancing'!$M$83</c:f>
              <c:strCache>
                <c:ptCount val="1"/>
                <c:pt idx="0">
                  <c:v>Cumulative Sum of DLIP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Balancing'!$M$84:$M$86</c:f>
              <c:numCache>
                <c:ptCount val="3"/>
                <c:pt idx="0">
                  <c:v>0</c:v>
                </c:pt>
                <c:pt idx="1">
                  <c:v>0</c:v>
                </c:pt>
                <c:pt idx="2">
                  <c:v>0</c:v>
                </c:pt>
              </c:numCache>
            </c:numRef>
          </c:val>
          <c:smooth val="0"/>
        </c:ser>
        <c:axId val="11737692"/>
        <c:axId val="38530365"/>
      </c:lineChart>
      <c:catAx>
        <c:axId val="20857522"/>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53499971"/>
        <c:crosses val="autoZero"/>
        <c:auto val="0"/>
        <c:lblOffset val="100"/>
        <c:tickLblSkip val="1"/>
        <c:noMultiLvlLbl val="0"/>
      </c:catAx>
      <c:valAx>
        <c:axId val="53499971"/>
        <c:scaling>
          <c:orientation val="minMax"/>
        </c:scaling>
        <c:axPos val="l"/>
        <c:title>
          <c:tx>
            <c:rich>
              <a:bodyPr vert="horz" rot="-5400000" anchor="ctr"/>
              <a:lstStyle/>
              <a:p>
                <a:pPr algn="ctr">
                  <a:defRPr/>
                </a:pPr>
                <a:r>
                  <a:rPr lang="en-US" cap="none" sz="1000" b="1" i="0" u="none" baseline="0">
                    <a:latin typeface="Arial"/>
                    <a:ea typeface="Arial"/>
                    <a:cs typeface="Arial"/>
                  </a:rPr>
                  <a:t>Monthly DLIP (£k)</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20857522"/>
        <c:crossesAt val="1"/>
        <c:crossBetween val="between"/>
        <c:dispUnits/>
      </c:valAx>
      <c:catAx>
        <c:axId val="11737692"/>
        <c:scaling>
          <c:orientation val="minMax"/>
        </c:scaling>
        <c:axPos val="b"/>
        <c:delete val="1"/>
        <c:majorTickMark val="in"/>
        <c:minorTickMark val="none"/>
        <c:tickLblPos val="nextTo"/>
        <c:crossAx val="38530365"/>
        <c:crosses val="autoZero"/>
        <c:auto val="0"/>
        <c:lblOffset val="100"/>
        <c:tickLblSkip val="1"/>
        <c:noMultiLvlLbl val="0"/>
      </c:catAx>
      <c:valAx>
        <c:axId val="38530365"/>
        <c:scaling>
          <c:orientation val="minMax"/>
        </c:scaling>
        <c:axPos val="l"/>
        <c:title>
          <c:tx>
            <c:rich>
              <a:bodyPr vert="horz" rot="-5400000" anchor="ctr"/>
              <a:lstStyle/>
              <a:p>
                <a:pPr algn="ctr">
                  <a:defRPr/>
                </a:pPr>
                <a:r>
                  <a:rPr lang="en-US" cap="none" sz="1000" b="1" i="0" u="none" baseline="0">
                    <a:latin typeface="Arial"/>
                    <a:ea typeface="Arial"/>
                    <a:cs typeface="Arial"/>
                  </a:rPr>
                  <a:t>Cumulative DLIP (£m)</a:t>
                </a:r>
              </a:p>
            </c:rich>
          </c:tx>
          <c:layout>
            <c:manualLayout>
              <c:xMode val="factor"/>
              <c:yMode val="factor"/>
              <c:x val="-0.00325"/>
              <c:y val="0"/>
            </c:manualLayout>
          </c:layout>
          <c:overlay val="0"/>
          <c:spPr>
            <a:noFill/>
            <a:ln>
              <a:noFill/>
            </a:ln>
          </c:spPr>
        </c:title>
        <c:delete val="0"/>
        <c:numFmt formatCode="0.00" sourceLinked="0"/>
        <c:majorTickMark val="in"/>
        <c:minorTickMark val="none"/>
        <c:tickLblPos val="nextTo"/>
        <c:txPr>
          <a:bodyPr/>
          <a:lstStyle/>
          <a:p>
            <a:pPr>
              <a:defRPr lang="en-US" cap="none" sz="800" b="0" i="0" u="none" baseline="0">
                <a:latin typeface="Arial"/>
                <a:ea typeface="Arial"/>
                <a:cs typeface="Arial"/>
              </a:defRPr>
            </a:pPr>
          </a:p>
        </c:txPr>
        <c:crossAx val="11737692"/>
        <c:crosses val="max"/>
        <c:crossBetween val="between"/>
        <c:dispUnits/>
      </c:valAx>
      <c:spPr>
        <a:noFill/>
      </c:spPr>
    </c:plotArea>
    <c:legend>
      <c:legendPos val="b"/>
      <c:layout>
        <c:manualLayout>
          <c:xMode val="edge"/>
          <c:yMode val="edge"/>
          <c:x val="0.18675"/>
          <c:y val="0.899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Performance</a:t>
            </a:r>
          </a:p>
        </c:rich>
      </c:tx>
      <c:layout/>
      <c:spPr>
        <a:noFill/>
        <a:ln>
          <a:noFill/>
        </a:ln>
      </c:spPr>
    </c:title>
    <c:plotArea>
      <c:layout>
        <c:manualLayout>
          <c:xMode val="edge"/>
          <c:yMode val="edge"/>
          <c:x val="0.03625"/>
          <c:y val="0.12575"/>
          <c:w val="0.947"/>
          <c:h val="0.797"/>
        </c:manualLayout>
      </c:layout>
      <c:lineChart>
        <c:grouping val="standard"/>
        <c:varyColors val="0"/>
        <c:ser>
          <c:idx val="0"/>
          <c:order val="0"/>
          <c:tx>
            <c:strRef>
              <c:f>'Residual Balancing'!$N$83</c:f>
              <c:strCache>
                <c:ptCount val="1"/>
                <c:pt idx="0">
                  <c:v>Average Monthly LPM (mcm)</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DCCFE"/>
              </a:solidFill>
              <a:ln>
                <a:solidFill>
                  <a:srgbClr val="9DCCFE"/>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'Residual Balancing'!$O$83</c:f>
              <c:strCache>
                <c:ptCount val="1"/>
                <c:pt idx="0">
                  <c:v>Min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Balancing'!$O$84:$O$95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'Residual Balancing'!$P$83</c:f>
              <c:strCache>
                <c:ptCount val="1"/>
                <c:pt idx="0">
                  <c:v>Max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Balancing'!$P$84:$P$95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ln>
          </c:spPr>
        </c:hiLowLines>
        <c:axId val="11228966"/>
        <c:axId val="33951831"/>
      </c:lineChart>
      <c:catAx>
        <c:axId val="11228966"/>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33951831"/>
        <c:crosses val="autoZero"/>
        <c:auto val="0"/>
        <c:lblOffset val="100"/>
        <c:tickLblSkip val="1"/>
        <c:noMultiLvlLbl val="0"/>
      </c:catAx>
      <c:valAx>
        <c:axId val="33951831"/>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LM (mcm)</a:t>
                </a:r>
              </a:p>
            </c:rich>
          </c:tx>
          <c:layout>
            <c:manualLayout>
              <c:xMode val="factor"/>
              <c:yMode val="factor"/>
              <c:x val="0"/>
              <c:y val="0"/>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11228966"/>
        <c:crossesAt val="1"/>
        <c:crossBetween val="between"/>
        <c:dispUnits/>
      </c:valAx>
      <c:spPr>
        <a:noFill/>
      </c:spPr>
    </c:plotArea>
    <c:legend>
      <c:legendPos val="b"/>
      <c:layout>
        <c:manualLayout>
          <c:xMode val="edge"/>
          <c:yMode val="edge"/>
          <c:x val="0.0235"/>
          <c:y val="0.921"/>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Number of Trades</a:t>
            </a:r>
          </a:p>
        </c:rich>
      </c:tx>
      <c:layout/>
      <c:spPr>
        <a:noFill/>
        <a:ln>
          <a:noFill/>
        </a:ln>
      </c:spPr>
    </c:title>
    <c:plotArea>
      <c:layout>
        <c:manualLayout>
          <c:xMode val="edge"/>
          <c:yMode val="edge"/>
          <c:x val="0.0385"/>
          <c:y val="0.13475"/>
          <c:w val="0.925"/>
          <c:h val="0.67225"/>
        </c:manualLayout>
      </c:layout>
      <c:barChart>
        <c:barDir val="col"/>
        <c:grouping val="clustered"/>
        <c:varyColors val="0"/>
        <c:ser>
          <c:idx val="1"/>
          <c:order val="0"/>
          <c:tx>
            <c:strRef>
              <c:f>'Residual Balancing'!$F$99</c:f>
              <c:strCache>
                <c:ptCount val="1"/>
                <c:pt idx="0">
                  <c:v>Number of buys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Balancing'!$F$100:$F$111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'Residual Balancing'!$G$99</c:f>
              <c:strCache>
                <c:ptCount val="1"/>
                <c:pt idx="0">
                  <c:v>Number of sells</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Balancing'!$G$100:$G$111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0"/>
        <c:axId val="37131024"/>
        <c:axId val="65743761"/>
      </c:barChart>
      <c:lineChart>
        <c:grouping val="standard"/>
        <c:varyColors val="0"/>
        <c:ser>
          <c:idx val="2"/>
          <c:order val="2"/>
          <c:tx>
            <c:strRef>
              <c:f>'Residual Balancing'!$H$99</c:f>
              <c:strCache>
                <c:ptCount val="1"/>
                <c:pt idx="0">
                  <c:v>Number of days - buys</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99CC"/>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Balancing'!$H$100:$H$111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'Residual Balancing'!$I$99</c:f>
              <c:strCache>
                <c:ptCount val="1"/>
                <c:pt idx="0">
                  <c:v>Number of days - sells</c:v>
                </c:pt>
              </c:strCache>
            </c:strRef>
          </c:tx>
          <c:spPr>
            <a:ln w="12700">
              <a:solidFill>
                <a:srgbClr val="A3DCE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A3DCE6"/>
              </a:solidFill>
              <a:ln>
                <a:solidFill>
                  <a:srgbClr val="A3DCE6"/>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Balancing'!$I$100:$I$111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54822938"/>
        <c:axId val="23644395"/>
      </c:lineChart>
      <c:catAx>
        <c:axId val="37131024"/>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65743761"/>
        <c:crosses val="autoZero"/>
        <c:auto val="0"/>
        <c:lblOffset val="100"/>
        <c:tickLblSkip val="1"/>
        <c:noMultiLvlLbl val="0"/>
      </c:catAx>
      <c:valAx>
        <c:axId val="65743761"/>
        <c:scaling>
          <c:orientation val="minMax"/>
          <c:max val="300"/>
          <c:min val="-400"/>
        </c:scaling>
        <c:axPos val="l"/>
        <c:title>
          <c:tx>
            <c:rich>
              <a:bodyPr vert="horz" rot="-5400000" anchor="ctr"/>
              <a:lstStyle/>
              <a:p>
                <a:pPr algn="ctr">
                  <a:defRPr/>
                </a:pPr>
                <a:r>
                  <a:rPr lang="en-US" cap="none" sz="1000" b="1" i="0" u="none" baseline="0">
                    <a:latin typeface="Arial"/>
                    <a:ea typeface="Arial"/>
                    <a:cs typeface="Arial"/>
                  </a:rPr>
                  <a:t>Number of trades</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7131024"/>
        <c:crossesAt val="1"/>
        <c:crossBetween val="between"/>
        <c:dispUnits/>
      </c:valAx>
      <c:catAx>
        <c:axId val="54822938"/>
        <c:scaling>
          <c:orientation val="minMax"/>
        </c:scaling>
        <c:axPos val="b"/>
        <c:delete val="1"/>
        <c:majorTickMark val="in"/>
        <c:minorTickMark val="none"/>
        <c:tickLblPos val="nextTo"/>
        <c:crossAx val="23644395"/>
        <c:crossesAt val="0"/>
        <c:auto val="0"/>
        <c:lblOffset val="100"/>
        <c:tickLblSkip val="1"/>
        <c:noMultiLvlLbl val="0"/>
      </c:catAx>
      <c:valAx>
        <c:axId val="23644395"/>
        <c:scaling>
          <c:orientation val="minMax"/>
          <c:max val="20"/>
          <c:min val="-20"/>
        </c:scaling>
        <c:axPos val="l"/>
        <c:title>
          <c:tx>
            <c:rich>
              <a:bodyPr vert="horz" rot="-5400000" anchor="ctr"/>
              <a:lstStyle/>
              <a:p>
                <a:pPr algn="ctr">
                  <a:defRPr/>
                </a:pPr>
                <a:r>
                  <a:rPr lang="en-US" cap="none" sz="1000" b="1" i="0" u="none" baseline="0">
                    <a:latin typeface="Arial"/>
                    <a:ea typeface="Arial"/>
                    <a:cs typeface="Arial"/>
                  </a:rPr>
                  <a:t>Number of days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4822938"/>
        <c:crosses val="max"/>
        <c:crossBetween val="between"/>
        <c:dispUnits/>
        <c:majorUnit val="5"/>
      </c:valAx>
      <c:spPr>
        <a:noFill/>
      </c:spPr>
    </c:plotArea>
    <c:legend>
      <c:legendPos val="b"/>
      <c:layout>
        <c:manualLayout>
          <c:xMode val="edge"/>
          <c:yMode val="edge"/>
          <c:x val="0.10625"/>
          <c:y val="0.804"/>
          <c:w val="0.828"/>
          <c:h val="0.1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Volume of Trades</a:t>
            </a:r>
          </a:p>
        </c:rich>
      </c:tx>
      <c:layout/>
      <c:spPr>
        <a:noFill/>
        <a:ln>
          <a:noFill/>
        </a:ln>
      </c:spPr>
    </c:title>
    <c:plotArea>
      <c:layout>
        <c:manualLayout>
          <c:xMode val="edge"/>
          <c:yMode val="edge"/>
          <c:x val="0.02575"/>
          <c:y val="0.14975"/>
          <c:w val="0.94175"/>
          <c:h val="0.68375"/>
        </c:manualLayout>
      </c:layout>
      <c:barChart>
        <c:barDir val="col"/>
        <c:grouping val="clustered"/>
        <c:varyColors val="0"/>
        <c:ser>
          <c:idx val="1"/>
          <c:order val="0"/>
          <c:tx>
            <c:v>Volume of buys (GWh)</c:v>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Balancing'!$C$100:$C$111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v>Volume of sells (GWh)</c:v>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Balancing'!$E$100:$E$111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0"/>
        <c:axId val="11472964"/>
        <c:axId val="36147813"/>
      </c:barChart>
      <c:catAx>
        <c:axId val="11472964"/>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36147813"/>
        <c:crosses val="autoZero"/>
        <c:auto val="0"/>
        <c:lblOffset val="100"/>
        <c:tickLblSkip val="1"/>
        <c:noMultiLvlLbl val="0"/>
      </c:catAx>
      <c:valAx>
        <c:axId val="36147813"/>
        <c:scaling>
          <c:orientation val="minMax"/>
          <c:max val="1000000000"/>
        </c:scaling>
        <c:axPos val="l"/>
        <c:title>
          <c:tx>
            <c:rich>
              <a:bodyPr vert="horz" rot="-5400000" anchor="ctr"/>
              <a:lstStyle/>
              <a:p>
                <a:pPr algn="ctr">
                  <a:defRPr/>
                </a:pPr>
                <a:r>
                  <a:rPr lang="en-US" cap="none" sz="1000" b="1" i="0" u="none" baseline="0">
                    <a:latin typeface="Arial"/>
                    <a:ea typeface="Arial"/>
                    <a:cs typeface="Arial"/>
                  </a:rPr>
                  <a:t>Volume of trades (GWh)</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1472964"/>
        <c:crossesAt val="1"/>
        <c:crossBetween val="between"/>
        <c:dispUnits>
          <c:builtInUnit val="millions"/>
        </c:dispUnits>
      </c:valAx>
      <c:spPr>
        <a:noFill/>
      </c:spPr>
    </c:plotArea>
    <c:legend>
      <c:legendPos val="b"/>
      <c:layout>
        <c:manualLayout>
          <c:xMode val="edge"/>
          <c:yMode val="edge"/>
          <c:x val="0.2807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Price Performance Measure</a:t>
            </a:r>
          </a:p>
        </c:rich>
      </c:tx>
      <c:layout/>
      <c:spPr>
        <a:noFill/>
        <a:ln>
          <a:noFill/>
        </a:ln>
      </c:spPr>
    </c:title>
    <c:plotArea>
      <c:layout>
        <c:manualLayout>
          <c:xMode val="edge"/>
          <c:yMode val="edge"/>
          <c:x val="0.05425"/>
          <c:y val="0.12275"/>
          <c:w val="0.93075"/>
          <c:h val="0.742"/>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56894862"/>
        <c:axId val="42291711"/>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56894862"/>
        <c:axId val="42291711"/>
      </c:lineChart>
      <c:dateAx>
        <c:axId val="5689486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2291711"/>
        <c:crosses val="autoZero"/>
        <c:auto val="0"/>
        <c:noMultiLvlLbl val="0"/>
      </c:dateAx>
      <c:valAx>
        <c:axId val="42291711"/>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56894862"/>
        <c:crossesAt val="1"/>
        <c:crossBetween val="between"/>
        <c:dispUnits/>
      </c:valAx>
      <c:spPr>
        <a:solidFill>
          <a:srgbClr val="FFFFFF"/>
        </a:solidFill>
      </c:spPr>
    </c:plotArea>
    <c:legend>
      <c:legendPos val="b"/>
      <c:legendEntry>
        <c:idx val="0"/>
        <c:delete val="1"/>
      </c:legendEntry>
      <c:layout>
        <c:manualLayout>
          <c:xMode val="edge"/>
          <c:yMode val="edge"/>
          <c:x val="0.12275"/>
          <c:y val="0.87425"/>
          <c:w val="0.8125"/>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Linepack Measure</a:t>
            </a:r>
          </a:p>
        </c:rich>
      </c:tx>
      <c:layout/>
      <c:spPr>
        <a:noFill/>
        <a:ln>
          <a:noFill/>
        </a:ln>
      </c:spPr>
    </c:title>
    <c:plotArea>
      <c:layout>
        <c:manualLayout>
          <c:xMode val="edge"/>
          <c:yMode val="edge"/>
          <c:x val="0.05725"/>
          <c:y val="0.11825"/>
          <c:w val="0.9265"/>
          <c:h val="0.7422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45081080"/>
        <c:axId val="3076537"/>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45081080"/>
        <c:axId val="3076537"/>
      </c:lineChart>
      <c:dateAx>
        <c:axId val="4508108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076537"/>
        <c:crosses val="autoZero"/>
        <c:auto val="0"/>
        <c:noMultiLvlLbl val="0"/>
      </c:dateAx>
      <c:valAx>
        <c:axId val="3076537"/>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45081080"/>
        <c:crossesAt val="1"/>
        <c:crossBetween val="between"/>
        <c:dispUnits/>
      </c:valAx>
      <c:spPr>
        <a:solidFill>
          <a:srgbClr val="FFFFFF"/>
        </a:solidFill>
      </c:spPr>
    </c:plotArea>
    <c:legend>
      <c:legendPos val="b"/>
      <c:legendEntry>
        <c:idx val="0"/>
        <c:delete val="1"/>
      </c:legendEntry>
      <c:layout>
        <c:manualLayout>
          <c:xMode val="edge"/>
          <c:yMode val="edge"/>
          <c:x val="0.097"/>
          <c:y val="0.877"/>
          <c:w val="0.868"/>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PPM</a:t>
            </a:r>
          </a:p>
        </c:rich>
      </c:tx>
      <c:layout>
        <c:manualLayout>
          <c:xMode val="factor"/>
          <c:yMode val="factor"/>
          <c:x val="0.00325"/>
          <c:y val="-0.01225"/>
        </c:manualLayout>
      </c:layout>
      <c:spPr>
        <a:noFill/>
        <a:ln>
          <a:noFill/>
        </a:ln>
      </c:spPr>
    </c:title>
    <c:plotArea>
      <c:layout>
        <c:manualLayout>
          <c:xMode val="edge"/>
          <c:yMode val="edge"/>
          <c:x val="0.109"/>
          <c:y val="0.12225"/>
          <c:w val="0.891"/>
          <c:h val="0.77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Data'!$D$77:$D$80</c:f>
              <c:numCache>
                <c:ptCount val="4"/>
                <c:pt idx="0">
                  <c:v>0</c:v>
                </c:pt>
                <c:pt idx="1">
                  <c:v>0.05</c:v>
                </c:pt>
                <c:pt idx="2">
                  <c:v>0.75667</c:v>
                </c:pt>
                <c:pt idx="3">
                  <c:v>1</c:v>
                </c:pt>
              </c:numCache>
            </c:numRef>
          </c:xVal>
          <c:yVal>
            <c:numRef>
              <c:f>'Graph Data'!$E$77:$E$80</c:f>
              <c:numCache>
                <c:ptCount val="4"/>
                <c:pt idx="0">
                  <c:v>1500</c:v>
                </c:pt>
                <c:pt idx="1">
                  <c:v>-3500</c:v>
                </c:pt>
                <c:pt idx="2">
                  <c:v>-30000</c:v>
                </c:pt>
                <c:pt idx="3">
                  <c:v>-30000</c:v>
                </c:pt>
              </c:numCache>
            </c:numRef>
          </c:yVal>
          <c:smooth val="1"/>
        </c:ser>
        <c:axId val="27688834"/>
        <c:axId val="47872915"/>
      </c:scatterChart>
      <c:valAx>
        <c:axId val="27688834"/>
        <c:scaling>
          <c:orientation val="minMax"/>
          <c:max val="0.99"/>
          <c:min val="0"/>
        </c:scaling>
        <c:axPos val="b"/>
        <c:title>
          <c:tx>
            <c:rich>
              <a:bodyPr vert="horz" rot="0" anchor="ctr"/>
              <a:lstStyle/>
              <a:p>
                <a:pPr algn="ctr">
                  <a:defRPr/>
                </a:pPr>
                <a:r>
                  <a:rPr lang="en-US" cap="none" sz="1000" b="1" i="0" u="none" baseline="0">
                    <a:solidFill>
                      <a:srgbClr val="000000"/>
                    </a:solidFill>
                    <a:latin typeface="Arial"/>
                    <a:ea typeface="Arial"/>
                    <a:cs typeface="Arial"/>
                  </a:rPr>
                  <a:t>Price Performance Measure (%)</a:t>
                </a:r>
              </a:p>
            </c:rich>
          </c:tx>
          <c:layout>
            <c:manualLayout>
              <c:xMode val="factor"/>
              <c:yMode val="factor"/>
              <c:x val="0.008"/>
              <c:y val="-0.018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7872915"/>
        <c:crosses val="autoZero"/>
        <c:crossBetween val="midCat"/>
        <c:dispUnits/>
        <c:majorUnit val="0.1"/>
        <c:minorUnit val="0.1"/>
      </c:valAx>
      <c:valAx>
        <c:axId val="47872915"/>
        <c:scaling>
          <c:orientation val="minMax"/>
          <c:max val="5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73"/>
              <c:y val="0"/>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7688834"/>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LPM</a:t>
            </a:r>
          </a:p>
        </c:rich>
      </c:tx>
      <c:layout>
        <c:manualLayout>
          <c:xMode val="factor"/>
          <c:yMode val="factor"/>
          <c:x val="0.00325"/>
          <c:y val="-0.01225"/>
        </c:manualLayout>
      </c:layout>
      <c:spPr>
        <a:noFill/>
        <a:ln>
          <a:noFill/>
        </a:ln>
      </c:spPr>
    </c:title>
    <c:plotArea>
      <c:layout>
        <c:manualLayout>
          <c:xMode val="edge"/>
          <c:yMode val="edge"/>
          <c:x val="0.03725"/>
          <c:y val="0.078"/>
          <c:w val="0.96275"/>
          <c:h val="0.841"/>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Data'!$D$84:$D$88</c:f>
              <c:numCache>
                <c:ptCount val="5"/>
                <c:pt idx="0">
                  <c:v>0</c:v>
                </c:pt>
                <c:pt idx="1">
                  <c:v>1.5</c:v>
                </c:pt>
                <c:pt idx="2">
                  <c:v>2.8</c:v>
                </c:pt>
                <c:pt idx="3">
                  <c:v>15</c:v>
                </c:pt>
                <c:pt idx="4">
                  <c:v>30</c:v>
                </c:pt>
              </c:numCache>
            </c:numRef>
          </c:xVal>
          <c:yVal>
            <c:numRef>
              <c:f>'Graph Data'!$E$84:$E$88</c:f>
              <c:numCache>
                <c:ptCount val="5"/>
                <c:pt idx="0">
                  <c:v>4000</c:v>
                </c:pt>
                <c:pt idx="1">
                  <c:v>4000</c:v>
                </c:pt>
                <c:pt idx="2">
                  <c:v>0</c:v>
                </c:pt>
                <c:pt idx="3">
                  <c:v>-30000</c:v>
                </c:pt>
                <c:pt idx="4">
                  <c:v>-30000</c:v>
                </c:pt>
              </c:numCache>
            </c:numRef>
          </c:yVal>
          <c:smooth val="1"/>
        </c:ser>
        <c:axId val="28203052"/>
        <c:axId val="52500877"/>
      </c:scatterChart>
      <c:valAx>
        <c:axId val="28203052"/>
        <c:scaling>
          <c:orientation val="minMax"/>
          <c:max val="3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Linepack Measure (mcm)</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2500877"/>
        <c:crosses val="autoZero"/>
        <c:crossBetween val="midCat"/>
        <c:dispUnits/>
        <c:majorUnit val="2.5"/>
      </c:valAx>
      <c:valAx>
        <c:axId val="52500877"/>
        <c:scaling>
          <c:orientation val="minMax"/>
          <c:max val="10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0025"/>
              <c:y val="-0.003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8203052"/>
        <c:crosses val="autoZero"/>
        <c:crossBetween val="midCat"/>
        <c:dispUnits/>
        <c:majorUnit val="500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Timeliness Performance</a:t>
            </a:r>
          </a:p>
        </c:rich>
      </c:tx>
      <c:layout>
        <c:manualLayout>
          <c:xMode val="factor"/>
          <c:yMode val="factor"/>
          <c:x val="0"/>
          <c:y val="-0.01825"/>
        </c:manualLayout>
      </c:layout>
      <c:spPr>
        <a:noFill/>
        <a:ln>
          <a:noFill/>
        </a:ln>
      </c:spPr>
    </c:title>
    <c:plotArea>
      <c:layout>
        <c:manualLayout>
          <c:xMode val="edge"/>
          <c:yMode val="edge"/>
          <c:x val="0.106"/>
          <c:y val="0.121"/>
          <c:w val="0.85675"/>
          <c:h val="0.678"/>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21307250"/>
        <c:axId val="57547523"/>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Publication'!$E$94:$P$94</c:f>
              <c:numCache>
                <c:ptCount val="12"/>
                <c:pt idx="0">
                  <c:v>0.92975</c:v>
                </c:pt>
                <c:pt idx="1">
                  <c:v>0.8945</c:v>
                </c:pt>
                <c:pt idx="2">
                  <c:v>0.885</c:v>
                </c:pt>
                <c:pt idx="3">
                  <c:v>0</c:v>
                </c:pt>
                <c:pt idx="4">
                  <c:v>0</c:v>
                </c:pt>
                <c:pt idx="5">
                  <c:v>0</c:v>
                </c:pt>
                <c:pt idx="6">
                  <c:v>0</c:v>
                </c:pt>
                <c:pt idx="7">
                  <c:v>0</c:v>
                </c:pt>
                <c:pt idx="8">
                  <c:v>0</c:v>
                </c:pt>
                <c:pt idx="9">
                  <c:v>0</c:v>
                </c:pt>
                <c:pt idx="10">
                  <c:v>0</c:v>
                </c:pt>
                <c:pt idx="11">
                  <c:v>0</c:v>
                </c:pt>
              </c:numCache>
            </c:numRef>
          </c:val>
        </c:ser>
        <c:axId val="21307250"/>
        <c:axId val="57547523"/>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0.905</c:v>
                </c:pt>
                <c:pt idx="1">
                  <c:v>0.905</c:v>
                </c:pt>
                <c:pt idx="2">
                  <c:v>0.905</c:v>
                </c:pt>
                <c:pt idx="3">
                  <c:v>0.905</c:v>
                </c:pt>
                <c:pt idx="4">
                  <c:v>0.905</c:v>
                </c:pt>
                <c:pt idx="5">
                  <c:v>0.905</c:v>
                </c:pt>
                <c:pt idx="6">
                  <c:v>0.905</c:v>
                </c:pt>
                <c:pt idx="7">
                  <c:v>0.905</c:v>
                </c:pt>
                <c:pt idx="8">
                  <c:v>0.905</c:v>
                </c:pt>
                <c:pt idx="9">
                  <c:v>0.905</c:v>
                </c:pt>
                <c:pt idx="10">
                  <c:v>0.905</c:v>
                </c:pt>
                <c:pt idx="11">
                  <c:v>0.905</c:v>
                </c:pt>
              </c:numCache>
            </c:numRef>
          </c:val>
          <c:smooth val="0"/>
        </c:ser>
        <c:axId val="21307250"/>
        <c:axId val="57547523"/>
      </c:lineChart>
      <c:catAx>
        <c:axId val="2130725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7547523"/>
        <c:crosses val="autoZero"/>
        <c:auto val="0"/>
        <c:lblOffset val="100"/>
        <c:tickLblSkip val="1"/>
        <c:noMultiLvlLbl val="0"/>
      </c:catAx>
      <c:valAx>
        <c:axId val="57547523"/>
        <c:scaling>
          <c:orientation val="minMax"/>
          <c:min val="0.8"/>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manualLayout>
              <c:xMode val="factor"/>
              <c:yMode val="factor"/>
              <c:x val="-0.001"/>
              <c:y val="0.00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1307250"/>
        <c:crossesAt val="1"/>
        <c:crossBetween val="between"/>
        <c:dispUnits/>
        <c:majorUnit val="0.2"/>
      </c:valAx>
      <c:spPr>
        <a:solidFill>
          <a:srgbClr val="FFFFFF"/>
        </a:solidFill>
      </c:spPr>
    </c:plotArea>
    <c:legend>
      <c:legendPos val="b"/>
      <c:legendEntry>
        <c:idx val="0"/>
        <c:delete val="1"/>
      </c:legendEntry>
      <c:layout>
        <c:manualLayout>
          <c:xMode val="edge"/>
          <c:yMode val="edge"/>
          <c:x val="0.243"/>
          <c:y val="0.840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Natural Gas Vented From Compressors</a:t>
            </a:r>
          </a:p>
        </c:rich>
      </c:tx>
      <c:layout>
        <c:manualLayout>
          <c:xMode val="factor"/>
          <c:yMode val="factor"/>
          <c:x val="0.011"/>
          <c:y val="-0.0065"/>
        </c:manualLayout>
      </c:layout>
      <c:spPr>
        <a:noFill/>
        <a:ln>
          <a:noFill/>
        </a:ln>
      </c:spPr>
    </c:title>
    <c:plotArea>
      <c:layout>
        <c:manualLayout>
          <c:xMode val="edge"/>
          <c:yMode val="edge"/>
          <c:x val="0.028"/>
          <c:y val="0.11875"/>
          <c:w val="0.94725"/>
          <c:h val="0.8125"/>
        </c:manualLayout>
      </c:layout>
      <c:barChart>
        <c:barDir val="col"/>
        <c:grouping val="clustered"/>
        <c:varyColors val="0"/>
        <c:ser>
          <c:idx val="1"/>
          <c:order val="0"/>
          <c:tx>
            <c:strRef>
              <c:f>'Greenhouse Gas Emissions'!$C$61</c:f>
              <c:strCache>
                <c:ptCount val="1"/>
                <c:pt idx="0">
                  <c:v>Natural Gas Vented, in tonnes, from Compressors (VIPMt)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Emissions'!$C$62:$C$73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745846"/>
        <c:axId val="24712615"/>
      </c:barChart>
      <c:catAx>
        <c:axId val="2745846"/>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24712615"/>
        <c:crosses val="autoZero"/>
        <c:auto val="0"/>
        <c:lblOffset val="100"/>
        <c:tickLblSkip val="1"/>
        <c:noMultiLvlLbl val="0"/>
      </c:catAx>
      <c:valAx>
        <c:axId val="24712615"/>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2745846"/>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Incentive</a:t>
            </a:r>
          </a:p>
        </c:rich>
      </c:tx>
      <c:layout>
        <c:manualLayout>
          <c:xMode val="factor"/>
          <c:yMode val="factor"/>
          <c:x val="0.011"/>
          <c:y val="-0.0065"/>
        </c:manualLayout>
      </c:layout>
      <c:spPr>
        <a:noFill/>
        <a:ln>
          <a:noFill/>
        </a:ln>
      </c:spPr>
    </c:title>
    <c:plotArea>
      <c:layout>
        <c:manualLayout>
          <c:xMode val="edge"/>
          <c:yMode val="edge"/>
          <c:x val="0.019"/>
          <c:y val="0.11425"/>
          <c:w val="0.957"/>
          <c:h val="0.7717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21086944"/>
        <c:axId val="55564769"/>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Emissions'!$D$62:$D$73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1086944"/>
        <c:axId val="55564769"/>
      </c:barChart>
      <c:catAx>
        <c:axId val="21086944"/>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55564769"/>
        <c:crosses val="autoZero"/>
        <c:auto val="0"/>
        <c:lblOffset val="100"/>
        <c:tickLblSkip val="1"/>
        <c:noMultiLvlLbl val="0"/>
      </c:catAx>
      <c:valAx>
        <c:axId val="55564769"/>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1086944"/>
        <c:crossesAt val="1"/>
        <c:crossBetween val="between"/>
        <c:dispUnits/>
      </c:valAx>
      <c:spPr>
        <a:noFill/>
      </c:spPr>
    </c:plotArea>
    <c:legend>
      <c:legendPos val="b"/>
      <c:legendEntry>
        <c:idx val="0"/>
        <c:delete val="1"/>
      </c:legendEntry>
      <c:layout>
        <c:manualLayout>
          <c:xMode val="edge"/>
          <c:yMode val="edge"/>
          <c:x val="0.2005"/>
          <c:y val="0.912"/>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Greenhouse Gas Emissions Incentive</a:t>
            </a:r>
          </a:p>
        </c:rich>
      </c:tx>
      <c:layout>
        <c:manualLayout>
          <c:xMode val="factor"/>
          <c:yMode val="factor"/>
          <c:x val="-0.00325"/>
          <c:y val="-0.01875"/>
        </c:manualLayout>
      </c:layout>
      <c:spPr>
        <a:noFill/>
        <a:ln>
          <a:noFill/>
        </a:ln>
      </c:spPr>
    </c:title>
    <c:plotArea>
      <c:layout>
        <c:manualLayout>
          <c:xMode val="edge"/>
          <c:yMode val="edge"/>
          <c:x val="0.0665"/>
          <c:y val="0.072"/>
          <c:w val="0.92475"/>
          <c:h val="0.8275"/>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Data'!$G$123:$G$126</c:f>
              <c:numCache>
                <c:ptCount val="4"/>
                <c:pt idx="0">
                  <c:v>0</c:v>
                </c:pt>
                <c:pt idx="1">
                  <c:v>2857</c:v>
                </c:pt>
                <c:pt idx="2">
                  <c:v>3157</c:v>
                </c:pt>
                <c:pt idx="3">
                  <c:v>6000</c:v>
                </c:pt>
              </c:numCache>
            </c:numRef>
          </c:xVal>
          <c:yVal>
            <c:numRef>
              <c:f>'Graph Data'!$H$123:$H$126</c:f>
              <c:numCache>
                <c:ptCount val="4"/>
                <c:pt idx="0">
                  <c:v>3.271265</c:v>
                </c:pt>
                <c:pt idx="1">
                  <c:v>0</c:v>
                </c:pt>
                <c:pt idx="2">
                  <c:v>0</c:v>
                </c:pt>
                <c:pt idx="3">
                  <c:v>-3.255235</c:v>
                </c:pt>
              </c:numCache>
            </c:numRef>
          </c:yVal>
          <c:smooth val="1"/>
        </c:ser>
        <c:axId val="30320874"/>
        <c:axId val="4452411"/>
      </c:scatterChart>
      <c:valAx>
        <c:axId val="30320874"/>
        <c:scaling>
          <c:orientation val="minMax"/>
          <c:max val="6000"/>
        </c:scaling>
        <c:axPos val="b"/>
        <c:title>
          <c:tx>
            <c:rich>
              <a:bodyPr vert="horz" rot="0" anchor="ctr"/>
              <a:lstStyle/>
              <a:p>
                <a:pPr algn="ctr">
                  <a:defRPr/>
                </a:pPr>
                <a:r>
                  <a:rPr lang="en-US" cap="none" sz="1000" b="1" i="0" u="none" baseline="0">
                    <a:solidFill>
                      <a:srgbClr val="000000"/>
                    </a:solidFill>
                    <a:latin typeface="Arial"/>
                    <a:ea typeface="Arial"/>
                    <a:cs typeface="Arial"/>
                  </a:rPr>
                  <a:t>Tonnes of natural gas vented</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452411"/>
        <c:crosses val="autoZero"/>
        <c:crossBetween val="midCat"/>
        <c:dispUnits/>
        <c:majorUnit val="500"/>
        <c:minorUnit val="12.6"/>
      </c:valAx>
      <c:valAx>
        <c:axId val="445241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125"/>
              <c:y val="0.00275"/>
            </c:manualLayout>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0320874"/>
        <c:crosses val="autoZero"/>
        <c:crossBetween val="midCat"/>
        <c:dispUnits/>
        <c:majorUnit val="1"/>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85"/>
          <c:y val="0.10675"/>
          <c:w val="0.9475"/>
          <c:h val="0.73775"/>
        </c:manualLayout>
      </c:layout>
      <c:barChart>
        <c:barDir val="col"/>
        <c:grouping val="clustered"/>
        <c:varyColors val="0"/>
        <c:ser>
          <c:idx val="1"/>
          <c:order val="0"/>
          <c:tx>
            <c:strRef>
              <c:f>'Unaccounted for Gas'!$C$63</c:f>
              <c:strCache>
                <c:ptCount val="1"/>
                <c:pt idx="0">
                  <c:v>Absolute volume of Unaccounted for Gas (GWh) UAGOt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'Unaccounted for Gas'!$C$64:$C$75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0071700"/>
        <c:axId val="25100981"/>
      </c:barChart>
      <c:catAx>
        <c:axId val="40071700"/>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25100981"/>
        <c:crosses val="autoZero"/>
        <c:auto val="0"/>
        <c:lblOffset val="100"/>
        <c:tickLblSkip val="1"/>
        <c:noMultiLvlLbl val="0"/>
      </c:catAx>
      <c:valAx>
        <c:axId val="25100981"/>
        <c:scaling>
          <c:orientation val="minMax"/>
        </c:scaling>
        <c:axPos val="l"/>
        <c:title>
          <c:tx>
            <c:rich>
              <a:bodyPr vert="horz" rot="-5400000" anchor="ctr"/>
              <a:lstStyle/>
              <a:p>
                <a:pPr algn="ctr">
                  <a:defRPr/>
                </a:pPr>
                <a:r>
                  <a:rPr lang="en-US" cap="none" sz="1000" b="1" i="0" u="none" baseline="0">
                    <a:latin typeface="Arial"/>
                    <a:ea typeface="Arial"/>
                    <a:cs typeface="Arial"/>
                  </a:rPr>
                  <a:t>Monthly Absolute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40071700"/>
        <c:crossesAt val="1"/>
        <c:crossBetween val="between"/>
        <c:dispUnits/>
      </c:valAx>
      <c:spPr>
        <a:noFill/>
        <a:ln w="12700">
          <a:solidFill>
            <a:srgbClr val="808080"/>
          </a:solidFill>
        </a:ln>
      </c:spPr>
    </c:plotArea>
    <c:legend>
      <c:legendPos val="b"/>
      <c:layout>
        <c:manualLayout>
          <c:xMode val="edge"/>
          <c:yMode val="edge"/>
          <c:x val="0.362"/>
          <c:y val="0.922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775"/>
          <c:y val="0.10575"/>
          <c:w val="0.9475"/>
          <c:h val="0.732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24582238"/>
        <c:axId val="19913551"/>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'Unaccounted for Gas'!$D$64:$D$75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4582238"/>
        <c:axId val="19913551"/>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24582238"/>
        <c:axId val="19913551"/>
      </c:lineChart>
      <c:catAx>
        <c:axId val="2458223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9913551"/>
        <c:crosses val="autoZero"/>
        <c:auto val="0"/>
        <c:lblOffset val="0"/>
        <c:tickLblSkip val="1"/>
        <c:noMultiLvlLbl val="0"/>
      </c:catAx>
      <c:valAx>
        <c:axId val="19913551"/>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4582238"/>
        <c:crossesAt val="1"/>
        <c:crossBetween val="between"/>
        <c:dispUnits/>
      </c:valAx>
      <c:spPr>
        <a:noFill/>
      </c:spPr>
    </c:plotArea>
    <c:legend>
      <c:legendPos val="b"/>
      <c:legendEntry>
        <c:idx val="0"/>
        <c:delete val="1"/>
      </c:legendEntry>
      <c:layout>
        <c:manualLayout>
          <c:xMode val="edge"/>
          <c:yMode val="edge"/>
          <c:x val="0.264"/>
          <c:y val="0.914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UAG Incentive</a:t>
            </a:r>
          </a:p>
        </c:rich>
      </c:tx>
      <c:layout>
        <c:manualLayout>
          <c:xMode val="factor"/>
          <c:yMode val="factor"/>
          <c:x val="0.05"/>
          <c:y val="-0.01225"/>
        </c:manualLayout>
      </c:layout>
      <c:spPr>
        <a:noFill/>
        <a:ln>
          <a:noFill/>
        </a:ln>
      </c:spPr>
    </c:title>
    <c:plotArea>
      <c:layout>
        <c:manualLayout>
          <c:xMode val="edge"/>
          <c:yMode val="edge"/>
          <c:x val="0.074"/>
          <c:y val="0.1045"/>
          <c:w val="0.92375"/>
          <c:h val="0.7547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Data'!$G$146:$G$149</c:f>
              <c:numCache>
                <c:ptCount val="4"/>
                <c:pt idx="0">
                  <c:v>0</c:v>
                </c:pt>
                <c:pt idx="1">
                  <c:v>1790.4183454779254</c:v>
                </c:pt>
                <c:pt idx="2">
                  <c:v>2862</c:v>
                </c:pt>
                <c:pt idx="3">
                  <c:v>4000</c:v>
                </c:pt>
              </c:numCache>
            </c:numRef>
          </c:xVal>
          <c:yVal>
            <c:numRef>
              <c:f>'Graph Data'!$H$146:$H$149</c:f>
              <c:numCache>
                <c:ptCount val="4"/>
                <c:pt idx="0">
                  <c:v>5</c:v>
                </c:pt>
                <c:pt idx="1">
                  <c:v>5</c:v>
                </c:pt>
                <c:pt idx="2">
                  <c:v>0</c:v>
                </c:pt>
                <c:pt idx="3">
                  <c:v>0</c:v>
                </c:pt>
              </c:numCache>
            </c:numRef>
          </c:yVal>
          <c:smooth val="1"/>
        </c:ser>
        <c:axId val="45004232"/>
        <c:axId val="2384905"/>
      </c:scatterChart>
      <c:valAx>
        <c:axId val="45004232"/>
        <c:scaling>
          <c:orientation val="minMax"/>
          <c:max val="400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Absolute Volume of UAG GWh</a:t>
                </a:r>
              </a:p>
            </c:rich>
          </c:tx>
          <c:layout>
            <c:manualLayout>
              <c:xMode val="factor"/>
              <c:yMode val="factor"/>
              <c:x val="0"/>
              <c:y val="0.000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384905"/>
        <c:crosses val="autoZero"/>
        <c:crossBetween val="midCat"/>
        <c:dispUnits/>
        <c:majorUnit val="500"/>
      </c:valAx>
      <c:valAx>
        <c:axId val="2384905"/>
        <c:scaling>
          <c:orientation val="minMax"/>
          <c:max val="6"/>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335"/>
              <c:y val="-0.02025"/>
            </c:manualLayout>
          </c:layout>
          <c:overlay val="0"/>
          <c:spPr>
            <a:noFill/>
            <a:ln>
              <a:noFill/>
            </a:ln>
          </c:spPr>
        </c:title>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5004232"/>
        <c:crossesAt val="0"/>
        <c:crossBetween val="midCat"/>
        <c:dispUnits/>
        <c:majorUnit val="1"/>
        <c:minorUnit val="0.2"/>
      </c:valAx>
      <c:spPr>
        <a:solidFill>
          <a:srgbClr val="FFFFFF"/>
        </a:solidFill>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Residual Balancing: Price Performance Measure</a:t>
            </a:r>
          </a:p>
        </c:rich>
      </c:tx>
      <c:layout/>
      <c:spPr>
        <a:noFill/>
        <a:ln>
          <a:noFill/>
        </a:ln>
      </c:spPr>
    </c:title>
    <c:plotArea>
      <c:layout>
        <c:manualLayout>
          <c:xMode val="edge"/>
          <c:yMode val="edge"/>
          <c:x val="0.08275"/>
          <c:y val="0.12425"/>
          <c:w val="0.896"/>
          <c:h val="0.67925"/>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48165660"/>
        <c:axId val="30837757"/>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Balancing'!$G$84:$G$95</c:f>
              <c:numCache>
                <c:ptCount val="12"/>
                <c:pt idx="0">
                  <c:v>2.72</c:v>
                </c:pt>
                <c:pt idx="1">
                  <c:v>0.87</c:v>
                </c:pt>
                <c:pt idx="2">
                  <c:v>0.57</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48165660"/>
        <c:axId val="30837757"/>
      </c:lineChart>
      <c:dateAx>
        <c:axId val="48165660"/>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30837757"/>
        <c:crosses val="autoZero"/>
        <c:auto val="0"/>
        <c:noMultiLvlLbl val="0"/>
      </c:dateAx>
      <c:valAx>
        <c:axId val="30837757"/>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latin typeface="Arial"/>
                <a:ea typeface="Arial"/>
                <a:cs typeface="Arial"/>
              </a:defRPr>
            </a:pPr>
          </a:p>
        </c:txPr>
        <c:crossAx val="48165660"/>
        <c:crossesAt val="1"/>
        <c:crossBetween val="between"/>
        <c:dispUnits/>
      </c:valAx>
      <c:spPr>
        <a:solidFill>
          <a:srgbClr val="FFFFFF"/>
        </a:solidFill>
      </c:spPr>
    </c:plotArea>
    <c:legend>
      <c:legendPos val="b"/>
      <c:legendEntry>
        <c:idx val="0"/>
        <c:delete val="1"/>
      </c:legendEntry>
      <c:layout>
        <c:manualLayout>
          <c:xMode val="edge"/>
          <c:yMode val="edge"/>
          <c:x val="0.232"/>
          <c:y val="0.841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Residual Balancing: Linepack Measure</a:t>
            </a:r>
          </a:p>
        </c:rich>
      </c:tx>
      <c:layout/>
      <c:spPr>
        <a:noFill/>
        <a:ln>
          <a:noFill/>
        </a:ln>
      </c:spPr>
    </c:title>
    <c:plotArea>
      <c:layout>
        <c:manualLayout>
          <c:xMode val="edge"/>
          <c:yMode val="edge"/>
          <c:x val="0.10525"/>
          <c:y val="0.12675"/>
          <c:w val="0.87275"/>
          <c:h val="0.677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9104358"/>
        <c:axId val="14830359"/>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Balancing'!$N$84:$N$95</c:f>
              <c:numCache>
                <c:ptCount val="12"/>
                <c:pt idx="0">
                  <c:v>2.48</c:v>
                </c:pt>
                <c:pt idx="1">
                  <c:v>2.03</c:v>
                </c:pt>
                <c:pt idx="2">
                  <c:v>1.67</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9104358"/>
        <c:axId val="14830359"/>
      </c:lineChart>
      <c:dateAx>
        <c:axId val="910435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4830359"/>
        <c:crosses val="autoZero"/>
        <c:auto val="0"/>
        <c:noMultiLvlLbl val="0"/>
      </c:dateAx>
      <c:valAx>
        <c:axId val="14830359"/>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9104358"/>
        <c:crossesAt val="1"/>
        <c:crossBetween val="between"/>
        <c:dispUnits/>
      </c:valAx>
      <c:spPr>
        <a:solidFill>
          <a:srgbClr val="FFFFFF"/>
        </a:solidFill>
      </c:spPr>
    </c:plotArea>
    <c:legend>
      <c:legendPos val="b"/>
      <c:legendEntry>
        <c:idx val="0"/>
        <c:delete val="1"/>
      </c:legendEntry>
      <c:layout>
        <c:manualLayout>
          <c:xMode val="edge"/>
          <c:yMode val="edge"/>
          <c:x val="0.20675"/>
          <c:y val="0.833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Operating Margin Costs</a:t>
            </a:r>
          </a:p>
        </c:rich>
      </c:tx>
      <c:layout/>
      <c:spPr>
        <a:noFill/>
        <a:ln>
          <a:noFill/>
        </a:ln>
      </c:spPr>
    </c:title>
    <c:plotArea>
      <c:layout>
        <c:manualLayout>
          <c:xMode val="edge"/>
          <c:yMode val="edge"/>
          <c:x val="0.04125"/>
          <c:y val="0.11725"/>
          <c:w val="0.95725"/>
          <c:h val="0.756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66364368"/>
        <c:axId val="60408401"/>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'Ops Margin'!$C$57:$C$68</c:f>
              <c:numCache>
                <c:ptCount val="12"/>
                <c:pt idx="0">
                  <c:v>1.49</c:v>
                </c:pt>
                <c:pt idx="1">
                  <c:v>1.24</c:v>
                </c:pt>
                <c:pt idx="2">
                  <c:v>1.26</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numCache>
            </c:numRef>
          </c:val>
        </c:ser>
        <c:overlap val="100"/>
        <c:axId val="66364368"/>
        <c:axId val="60408401"/>
      </c:barChart>
      <c:lineChart>
        <c:grouping val="standard"/>
        <c:varyColors val="0"/>
        <c:ser>
          <c:idx val="2"/>
          <c:order val="2"/>
          <c:tx>
            <c:strRef>
              <c:f>'Graph Data'!$C$61</c:f>
              <c:strCache>
                <c:ptCount val="1"/>
                <c:pt idx="0">
                  <c:v>Monthly Target</c:v>
                </c:pt>
              </c:strCache>
            </c:strRef>
          </c:tx>
          <c:spPr>
            <a:ln w="127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66364368"/>
        <c:axId val="60408401"/>
      </c:lineChart>
      <c:dateAx>
        <c:axId val="66364368"/>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60408401"/>
        <c:crosses val="autoZero"/>
        <c:auto val="0"/>
        <c:noMultiLvlLbl val="0"/>
      </c:dateAx>
      <c:valAx>
        <c:axId val="60408401"/>
        <c:scaling>
          <c:orientation val="minMax"/>
        </c:scaling>
        <c:axPos val="l"/>
        <c:title>
          <c:tx>
            <c:rich>
              <a:bodyPr vert="horz" rot="-5400000" anchor="ctr"/>
              <a:lstStyle/>
              <a:p>
                <a:pPr algn="ctr">
                  <a:defRPr/>
                </a:pPr>
                <a:r>
                  <a:rPr lang="en-US" cap="none" sz="1025" b="1" i="0" u="none" baseline="0">
                    <a:latin typeface="Arial"/>
                    <a:ea typeface="Arial"/>
                    <a:cs typeface="Arial"/>
                  </a:rPr>
                  <a:t>Costs (£m)</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66364368"/>
        <c:crossesAt val="1"/>
        <c:crossBetween val="between"/>
        <c:dispUnits/>
      </c:valAx>
      <c:spPr>
        <a:noFill/>
        <a:ln w="12700">
          <a:solidFill>
            <a:srgbClr val="808080"/>
          </a:solidFill>
        </a:ln>
      </c:spPr>
    </c:plotArea>
    <c:legend>
      <c:legendPos val="b"/>
      <c:legendEntry>
        <c:idx val="0"/>
        <c:delete val="1"/>
      </c:legendEntry>
      <c:layout>
        <c:manualLayout>
          <c:xMode val="edge"/>
          <c:yMode val="edge"/>
          <c:x val="0.0935"/>
          <c:y val="0.87775"/>
          <c:w val="0.87875"/>
          <c:h val="0.097"/>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Cumulative Incentive Costs</a:t>
            </a:r>
          </a:p>
        </c:rich>
      </c:tx>
      <c:layout>
        <c:manualLayout>
          <c:xMode val="factor"/>
          <c:yMode val="factor"/>
          <c:x val="0"/>
          <c:y val="-0.0205"/>
        </c:manualLayout>
      </c:layout>
      <c:spPr>
        <a:noFill/>
        <a:ln>
          <a:noFill/>
        </a:ln>
      </c:spPr>
    </c:title>
    <c:plotArea>
      <c:layout>
        <c:manualLayout>
          <c:xMode val="edge"/>
          <c:yMode val="edge"/>
          <c:x val="0.03125"/>
          <c:y val="0.054"/>
          <c:w val="0.96125"/>
          <c:h val="0.7015"/>
        </c:manualLayout>
      </c:layout>
      <c:areaChart>
        <c:grouping val="stacked"/>
        <c:varyColors val="0"/>
        <c:ser>
          <c:idx val="3"/>
          <c:order val="2"/>
          <c:tx>
            <c:strRef>
              <c:f>'Graph Data'!$C$115</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Shrinkage!$C$38:$N$38</c:f>
              <c:numCache>
                <c:ptCount val="12"/>
                <c:pt idx="0">
                  <c:v>9.646666666666667</c:v>
                </c:pt>
                <c:pt idx="1">
                  <c:v>19.293333333333333</c:v>
                </c:pt>
                <c:pt idx="2">
                  <c:v>28.939999999999998</c:v>
                </c:pt>
                <c:pt idx="3">
                  <c:v>35.449999999999996</c:v>
                </c:pt>
                <c:pt idx="4">
                  <c:v>41.96</c:v>
                </c:pt>
                <c:pt idx="5">
                  <c:v>48.47</c:v>
                </c:pt>
                <c:pt idx="6">
                  <c:v>60.086666666666666</c:v>
                </c:pt>
                <c:pt idx="7">
                  <c:v>71.70333333333333</c:v>
                </c:pt>
                <c:pt idx="8">
                  <c:v>83.32</c:v>
                </c:pt>
                <c:pt idx="9">
                  <c:v>95.82666666666667</c:v>
                </c:pt>
                <c:pt idx="10">
                  <c:v>108.33333333333333</c:v>
                </c:pt>
                <c:pt idx="11">
                  <c:v>120.84</c:v>
                </c:pt>
              </c:numCache>
            </c:numRef>
          </c:val>
        </c:ser>
        <c:ser>
          <c:idx val="2"/>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axId val="6804698"/>
        <c:axId val="61242283"/>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Shrinkage!$C$34:$N$34</c:f>
              <c:numCache>
                <c:ptCount val="12"/>
                <c:pt idx="0">
                  <c:v>13.27</c:v>
                </c:pt>
                <c:pt idx="1">
                  <c:v>24.46</c:v>
                </c:pt>
                <c:pt idx="2">
                  <c:v>33.010000000000005</c:v>
                </c:pt>
                <c:pt idx="3">
                  <c:v>0</c:v>
                </c:pt>
                <c:pt idx="4">
                  <c:v>0</c:v>
                </c:pt>
                <c:pt idx="5">
                  <c:v>0</c:v>
                </c:pt>
                <c:pt idx="6">
                  <c:v>0</c:v>
                </c:pt>
                <c:pt idx="7">
                  <c:v>0</c:v>
                </c:pt>
                <c:pt idx="8">
                  <c:v>0</c:v>
                </c:pt>
                <c:pt idx="9">
                  <c:v>0</c:v>
                </c:pt>
                <c:pt idx="10">
                  <c:v>0</c:v>
                </c:pt>
                <c:pt idx="11">
                  <c:v>0</c:v>
                </c:pt>
              </c:numCache>
            </c:numRef>
          </c:val>
        </c:ser>
        <c:axId val="6804698"/>
        <c:axId val="61242283"/>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Shrinkage!$C$36:$N$36</c:f>
              <c:numCache>
                <c:ptCount val="12"/>
                <c:pt idx="0">
                  <c:v>11.313333333333333</c:v>
                </c:pt>
                <c:pt idx="1">
                  <c:v>22.626666666666665</c:v>
                </c:pt>
                <c:pt idx="2">
                  <c:v>33.94</c:v>
                </c:pt>
                <c:pt idx="3">
                  <c:v>42.11666666666667</c:v>
                </c:pt>
                <c:pt idx="4">
                  <c:v>50.29333333333334</c:v>
                </c:pt>
                <c:pt idx="5">
                  <c:v>58.47</c:v>
                </c:pt>
                <c:pt idx="6">
                  <c:v>71.75333333333333</c:v>
                </c:pt>
                <c:pt idx="7">
                  <c:v>85.03666666666666</c:v>
                </c:pt>
                <c:pt idx="8">
                  <c:v>98.32</c:v>
                </c:pt>
                <c:pt idx="9">
                  <c:v>112.49333333333333</c:v>
                </c:pt>
                <c:pt idx="10">
                  <c:v>126.66666666666666</c:v>
                </c:pt>
                <c:pt idx="11">
                  <c:v>140.84</c:v>
                </c:pt>
              </c:numCache>
            </c:numRef>
          </c:val>
          <c:smooth val="0"/>
        </c:ser>
        <c:axId val="6804698"/>
        <c:axId val="61242283"/>
      </c:lineChart>
      <c:catAx>
        <c:axId val="6804698"/>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61242283"/>
        <c:crosses val="autoZero"/>
        <c:auto val="0"/>
        <c:lblOffset val="100"/>
        <c:tickLblSkip val="1"/>
        <c:noMultiLvlLbl val="0"/>
      </c:catAx>
      <c:valAx>
        <c:axId val="61242283"/>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45"/>
              <c:y val="-0.04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804698"/>
        <c:crossesAt val="1"/>
        <c:crossBetween val="between"/>
        <c:dispUnits/>
        <c:majorUnit val="50"/>
      </c:valAx>
      <c:spPr>
        <a:noFill/>
        <a:ln w="12700">
          <a:solidFill>
            <a:srgbClr val="808080"/>
          </a:solidFill>
        </a:ln>
      </c:spPr>
    </c:plotArea>
    <c:legend>
      <c:legendPos val="b"/>
      <c:legendEntry>
        <c:idx val="0"/>
        <c:delete val="1"/>
      </c:legendEntry>
      <c:layout>
        <c:manualLayout>
          <c:xMode val="edge"/>
          <c:yMode val="edge"/>
          <c:x val="0.00175"/>
          <c:y val="0.7805"/>
          <c:w val="0.99625"/>
          <c:h val="0.21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 Natural Gas Vented</a:t>
            </a:r>
          </a:p>
        </c:rich>
      </c:tx>
      <c:layout>
        <c:manualLayout>
          <c:xMode val="factor"/>
          <c:yMode val="factor"/>
          <c:x val="0.011"/>
          <c:y val="-0.0065"/>
        </c:manualLayout>
      </c:layout>
      <c:spPr>
        <a:noFill/>
        <a:ln>
          <a:noFill/>
        </a:ln>
      </c:spPr>
    </c:title>
    <c:plotArea>
      <c:layout>
        <c:manualLayout>
          <c:xMode val="edge"/>
          <c:yMode val="edge"/>
          <c:x val="0.103"/>
          <c:y val="0.13225"/>
          <c:w val="0.86225"/>
          <c:h val="0.7302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14309636"/>
        <c:axId val="61677861"/>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'Greenhouse Gas Emissions'!$D$62:$D$73</c:f>
              <c:numCache>
                <c:ptCount val="12"/>
                <c:pt idx="0">
                  <c:v>145.078292017228</c:v>
                </c:pt>
                <c:pt idx="1">
                  <c:v>330.18787371722806</c:v>
                </c:pt>
                <c:pt idx="2">
                  <c:v>546.415876526828</c:v>
                </c:pt>
                <c:pt idx="3">
                  <c:v>0</c:v>
                </c:pt>
                <c:pt idx="4">
                  <c:v>0</c:v>
                </c:pt>
                <c:pt idx="5">
                  <c:v>0</c:v>
                </c:pt>
                <c:pt idx="6">
                  <c:v>0</c:v>
                </c:pt>
                <c:pt idx="7">
                  <c:v>0</c:v>
                </c:pt>
                <c:pt idx="8">
                  <c:v>0</c:v>
                </c:pt>
                <c:pt idx="9">
                  <c:v>0</c:v>
                </c:pt>
                <c:pt idx="10">
                  <c:v>0</c:v>
                </c:pt>
                <c:pt idx="11">
                  <c:v>0</c:v>
                </c:pt>
              </c:numCache>
            </c:numRef>
          </c:val>
        </c:ser>
        <c:axId val="14309636"/>
        <c:axId val="61677861"/>
      </c:barChart>
      <c:catAx>
        <c:axId val="1430963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1677861"/>
        <c:crosses val="autoZero"/>
        <c:auto val="0"/>
        <c:lblOffset val="100"/>
        <c:tickLblSkip val="1"/>
        <c:noMultiLvlLbl val="0"/>
      </c:catAx>
      <c:valAx>
        <c:axId val="61677861"/>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4309636"/>
        <c:crossesAt val="1"/>
        <c:crossBetween val="between"/>
        <c:dispUnits/>
      </c:valAx>
      <c:spPr>
        <a:noFill/>
      </c:spPr>
    </c:plotArea>
    <c:legend>
      <c:legendPos val="r"/>
      <c:legendEntry>
        <c:idx val="0"/>
        <c:delete val="1"/>
      </c:legendEntry>
      <c:layout>
        <c:manualLayout>
          <c:xMode val="edge"/>
          <c:yMode val="edge"/>
          <c:x val="0.076"/>
          <c:y val="0.855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nationalgrid.com/" TargetMode="External" /><Relationship Id="rId3" Type="http://schemas.openxmlformats.org/officeDocument/2006/relationships/hyperlink" Target="http://www.nationalgrid.com/"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image" Target="../media/image1.png" /><Relationship Id="rId4" Type="http://schemas.openxmlformats.org/officeDocument/2006/relationships/hyperlink" Target="http://www.nationalgrid.com/" TargetMode="External" /><Relationship Id="rId5" Type="http://schemas.openxmlformats.org/officeDocument/2006/relationships/hyperlink" Target="http://www.nationalgrid.com/" TargetMode="External" /><Relationship Id="rId6" Type="http://schemas.openxmlformats.org/officeDocument/2006/relationships/chart" Target="/xl/charts/chart2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 Id="rId4" Type="http://schemas.openxmlformats.org/officeDocument/2006/relationships/chart" Target="/xl/charts/chart33.xml" /><Relationship Id="rId5" Type="http://schemas.openxmlformats.org/officeDocument/2006/relationships/chart" Target="/xl/charts/chart34.xml" /><Relationship Id="rId6" Type="http://schemas.openxmlformats.org/officeDocument/2006/relationships/chart" Target="/xl/charts/chart35.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 Id="rId10" Type="http://schemas.openxmlformats.org/officeDocument/2006/relationships/chart" Target="/xl/charts/chart36.xml" /><Relationship Id="rId11" Type="http://schemas.openxmlformats.org/officeDocument/2006/relationships/chart" Target="/xl/charts/chart37.xml" /><Relationship Id="rId12" Type="http://schemas.openxmlformats.org/officeDocument/2006/relationships/chart" Target="/xl/charts/chart38.xml" /><Relationship Id="rId13" Type="http://schemas.openxmlformats.org/officeDocument/2006/relationships/chart" Target="/xl/charts/chart3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 Id="rId3" Type="http://schemas.openxmlformats.org/officeDocument/2006/relationships/chart" Target="/xl/charts/chart42.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1.png" /><Relationship Id="rId12" Type="http://schemas.openxmlformats.org/officeDocument/2006/relationships/hyperlink" Target="http://www.nationalgrid.com/" TargetMode="External" /><Relationship Id="rId13" Type="http://schemas.openxmlformats.org/officeDocument/2006/relationships/hyperlink" Target="http://www.nationalgrid.com/"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chart" Target="/xl/charts/chart22.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 Id="rId5" Type="http://schemas.openxmlformats.org/officeDocument/2006/relationships/image" Target="../media/image1.png" /><Relationship Id="rId6" Type="http://schemas.openxmlformats.org/officeDocument/2006/relationships/hyperlink" Target="http://www.nationalgrid.com/" TargetMode="External" /><Relationship Id="rId7" Type="http://schemas.openxmlformats.org/officeDocument/2006/relationships/hyperlink" Target="http://www.nationalgrid.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8886825</xdr:colOff>
      <xdr:row>0</xdr:row>
      <xdr:rowOff>76200</xdr:rowOff>
    </xdr:from>
    <xdr:to>
      <xdr:col>1</xdr:col>
      <xdr:colOff>10401300</xdr:colOff>
      <xdr:row>2</xdr:row>
      <xdr:rowOff>66675</xdr:rowOff>
    </xdr:to>
    <xdr:pic>
      <xdr:nvPicPr>
        <xdr:cNvPr id="1" name="Picture 3" descr="National Grid">
          <a:hlinkClick r:id="rId3"/>
        </xdr:cNvPr>
        <xdr:cNvPicPr preferRelativeResize="1">
          <a:picLocks noChangeAspect="0"/>
        </xdr:cNvPicPr>
      </xdr:nvPicPr>
      <xdr:blipFill>
        <a:blip r:embed="rId1"/>
        <a:stretch>
          <a:fillRect/>
        </a:stretch>
      </xdr:blipFill>
      <xdr:spPr>
        <a:xfrm>
          <a:off x="9039225" y="76200"/>
          <a:ext cx="1514475" cy="323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xdr:row>
      <xdr:rowOff>9525</xdr:rowOff>
    </xdr:from>
    <xdr:to>
      <xdr:col>7</xdr:col>
      <xdr:colOff>4133850</xdr:colOff>
      <xdr:row>50</xdr:row>
      <xdr:rowOff>0</xdr:rowOff>
    </xdr:to>
    <xdr:graphicFrame>
      <xdr:nvGraphicFramePr>
        <xdr:cNvPr id="1" name="Chart 1"/>
        <xdr:cNvGraphicFramePr/>
      </xdr:nvGraphicFramePr>
      <xdr:xfrm>
        <a:off x="190500" y="6362700"/>
        <a:ext cx="10925175" cy="28479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70</xdr:row>
      <xdr:rowOff>9525</xdr:rowOff>
    </xdr:from>
    <xdr:to>
      <xdr:col>8</xdr:col>
      <xdr:colOff>0</xdr:colOff>
      <xdr:row>90</xdr:row>
      <xdr:rowOff>38100</xdr:rowOff>
    </xdr:to>
    <xdr:graphicFrame>
      <xdr:nvGraphicFramePr>
        <xdr:cNvPr id="2" name="Chart 2"/>
        <xdr:cNvGraphicFramePr/>
      </xdr:nvGraphicFramePr>
      <xdr:xfrm>
        <a:off x="180975" y="13515975"/>
        <a:ext cx="10953750" cy="3019425"/>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19050</xdr:colOff>
      <xdr:row>0</xdr:row>
      <xdr:rowOff>28575</xdr:rowOff>
    </xdr:from>
    <xdr:to>
      <xdr:col>7</xdr:col>
      <xdr:colOff>1533525</xdr:colOff>
      <xdr:row>1</xdr:row>
      <xdr:rowOff>47625</xdr:rowOff>
    </xdr:to>
    <xdr:pic>
      <xdr:nvPicPr>
        <xdr:cNvPr id="3" name="Picture 7" descr="National Grid">
          <a:hlinkClick r:id="rId5"/>
        </xdr:cNvPr>
        <xdr:cNvPicPr preferRelativeResize="1">
          <a:picLocks noChangeAspect="0"/>
        </xdr:cNvPicPr>
      </xdr:nvPicPr>
      <xdr:blipFill>
        <a:blip r:embed="rId3"/>
        <a:stretch>
          <a:fillRect/>
        </a:stretch>
      </xdr:blipFill>
      <xdr:spPr>
        <a:xfrm>
          <a:off x="7000875" y="28575"/>
          <a:ext cx="1514475" cy="323850"/>
        </a:xfrm>
        <a:prstGeom prst="rect">
          <a:avLst/>
        </a:prstGeom>
        <a:noFill/>
        <a:ln w="9525" cmpd="sng">
          <a:noFill/>
        </a:ln>
      </xdr:spPr>
    </xdr:pic>
    <xdr:clientData/>
  </xdr:twoCellAnchor>
  <xdr:twoCellAnchor>
    <xdr:from>
      <xdr:col>0</xdr:col>
      <xdr:colOff>171450</xdr:colOff>
      <xdr:row>7</xdr:row>
      <xdr:rowOff>9525</xdr:rowOff>
    </xdr:from>
    <xdr:to>
      <xdr:col>5</xdr:col>
      <xdr:colOff>828675</xdr:colOff>
      <xdr:row>27</xdr:row>
      <xdr:rowOff>0</xdr:rowOff>
    </xdr:to>
    <xdr:graphicFrame>
      <xdr:nvGraphicFramePr>
        <xdr:cNvPr id="4" name="Chart 16"/>
        <xdr:cNvGraphicFramePr/>
      </xdr:nvGraphicFramePr>
      <xdr:xfrm>
        <a:off x="171450" y="2895600"/>
        <a:ext cx="5191125" cy="2971800"/>
      </xdr:xfrm>
      <a:graphic>
        <a:graphicData uri="http://schemas.openxmlformats.org/drawingml/2006/chart">
          <c:chart xmlns:c="http://schemas.openxmlformats.org/drawingml/2006/chart" r:id="rId6"/>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0.2145</cdr:x>
      <cdr:y>0.547</cdr:y>
    </cdr:from>
    <cdr:to>
      <cdr:x>0.3515</cdr:x>
      <cdr:y>0.70425</cdr:y>
    </cdr:to>
    <cdr:sp>
      <cdr:nvSpPr>
        <cdr:cNvPr id="1" name="TextBox 1"/>
        <cdr:cNvSpPr txBox="1">
          <a:spLocks noChangeArrowheads="1"/>
        </cdr:cNvSpPr>
      </cdr:nvSpPr>
      <cdr:spPr>
        <a:xfrm>
          <a:off x="1304925" y="1524000"/>
          <a:ext cx="838200" cy="43815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PPM
1.5%</a:t>
          </a:r>
        </a:p>
      </cdr:txBody>
    </cdr:sp>
  </cdr:relSizeAnchor>
  <cdr:relSizeAnchor xmlns:cdr="http://schemas.openxmlformats.org/drawingml/2006/chartDrawing">
    <cdr:from>
      <cdr:x>0.2145</cdr:x>
      <cdr:y>0.31925</cdr:y>
    </cdr:from>
    <cdr:to>
      <cdr:x>0.2225</cdr:x>
      <cdr:y>0.547</cdr:y>
    </cdr:to>
    <cdr:sp>
      <cdr:nvSpPr>
        <cdr:cNvPr id="2" name="Line 2"/>
        <cdr:cNvSpPr>
          <a:spLocks/>
        </cdr:cNvSpPr>
      </cdr:nvSpPr>
      <cdr:spPr>
        <a:xfrm flipV="1">
          <a:off x="1304925" y="885825"/>
          <a:ext cx="47625"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cdr:x>
      <cdr:y>0.623</cdr:y>
    </cdr:from>
    <cdr:to>
      <cdr:x>0.34075</cdr:x>
      <cdr:y>0.7965</cdr:y>
    </cdr:to>
    <cdr:sp>
      <cdr:nvSpPr>
        <cdr:cNvPr id="1" name="TextBox 1"/>
        <cdr:cNvSpPr txBox="1">
          <a:spLocks noChangeArrowheads="1"/>
        </cdr:cNvSpPr>
      </cdr:nvSpPr>
      <cdr:spPr>
        <a:xfrm>
          <a:off x="723900" y="1590675"/>
          <a:ext cx="1352550" cy="44767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LM
2.8mcm</a:t>
          </a:r>
        </a:p>
      </cdr:txBody>
    </cdr:sp>
  </cdr:relSizeAnchor>
  <cdr:relSizeAnchor xmlns:cdr="http://schemas.openxmlformats.org/drawingml/2006/chartDrawing">
    <cdr:from>
      <cdr:x>0.1895</cdr:x>
      <cdr:y>0.292</cdr:y>
    </cdr:from>
    <cdr:to>
      <cdr:x>0.1895</cdr:x>
      <cdr:y>0.623</cdr:y>
    </cdr:to>
    <cdr:sp>
      <cdr:nvSpPr>
        <cdr:cNvPr id="2" name="Line 2"/>
        <cdr:cNvSpPr>
          <a:spLocks/>
        </cdr:cNvSpPr>
      </cdr:nvSpPr>
      <cdr:spPr>
        <a:xfrm flipH="1" flipV="1">
          <a:off x="1152525" y="742950"/>
          <a:ext cx="0" cy="847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158</xdr:row>
      <xdr:rowOff>0</xdr:rowOff>
    </xdr:from>
    <xdr:to>
      <xdr:col>7</xdr:col>
      <xdr:colOff>733425</xdr:colOff>
      <xdr:row>177</xdr:row>
      <xdr:rowOff>133350</xdr:rowOff>
    </xdr:to>
    <xdr:graphicFrame>
      <xdr:nvGraphicFramePr>
        <xdr:cNvPr id="1" name="Chart 1"/>
        <xdr:cNvGraphicFramePr/>
      </xdr:nvGraphicFramePr>
      <xdr:xfrm>
        <a:off x="66675" y="27717750"/>
        <a:ext cx="6105525" cy="28479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136</xdr:row>
      <xdr:rowOff>0</xdr:rowOff>
    </xdr:from>
    <xdr:to>
      <xdr:col>8</xdr:col>
      <xdr:colOff>0</xdr:colOff>
      <xdr:row>155</xdr:row>
      <xdr:rowOff>133350</xdr:rowOff>
    </xdr:to>
    <xdr:graphicFrame>
      <xdr:nvGraphicFramePr>
        <xdr:cNvPr id="2" name="Chart 3"/>
        <xdr:cNvGraphicFramePr/>
      </xdr:nvGraphicFramePr>
      <xdr:xfrm>
        <a:off x="76200" y="24574500"/>
        <a:ext cx="6105525" cy="2847975"/>
      </xdr:xfrm>
      <a:graphic>
        <a:graphicData uri="http://schemas.openxmlformats.org/drawingml/2006/chart">
          <c:chart xmlns:c="http://schemas.openxmlformats.org/drawingml/2006/chart" r:id="rId2"/>
        </a:graphicData>
      </a:graphic>
    </xdr:graphicFrame>
    <xdr:clientData/>
  </xdr:twoCellAnchor>
  <xdr:twoCellAnchor>
    <xdr:from>
      <xdr:col>8</xdr:col>
      <xdr:colOff>657225</xdr:colOff>
      <xdr:row>158</xdr:row>
      <xdr:rowOff>19050</xdr:rowOff>
    </xdr:from>
    <xdr:to>
      <xdr:col>15</xdr:col>
      <xdr:colOff>762000</xdr:colOff>
      <xdr:row>178</xdr:row>
      <xdr:rowOff>0</xdr:rowOff>
    </xdr:to>
    <xdr:graphicFrame>
      <xdr:nvGraphicFramePr>
        <xdr:cNvPr id="3" name="Chart 4"/>
        <xdr:cNvGraphicFramePr/>
      </xdr:nvGraphicFramePr>
      <xdr:xfrm>
        <a:off x="6838950" y="27736800"/>
        <a:ext cx="5743575" cy="2838450"/>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136</xdr:row>
      <xdr:rowOff>0</xdr:rowOff>
    </xdr:from>
    <xdr:to>
      <xdr:col>16</xdr:col>
      <xdr:colOff>19050</xdr:colOff>
      <xdr:row>156</xdr:row>
      <xdr:rowOff>0</xdr:rowOff>
    </xdr:to>
    <xdr:graphicFrame>
      <xdr:nvGraphicFramePr>
        <xdr:cNvPr id="4" name="Chart 7"/>
        <xdr:cNvGraphicFramePr/>
      </xdr:nvGraphicFramePr>
      <xdr:xfrm>
        <a:off x="6848475" y="24574500"/>
        <a:ext cx="5772150" cy="285750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113</xdr:row>
      <xdr:rowOff>0</xdr:rowOff>
    </xdr:from>
    <xdr:to>
      <xdr:col>15</xdr:col>
      <xdr:colOff>762000</xdr:colOff>
      <xdr:row>133</xdr:row>
      <xdr:rowOff>0</xdr:rowOff>
    </xdr:to>
    <xdr:graphicFrame>
      <xdr:nvGraphicFramePr>
        <xdr:cNvPr id="5" name="Chart 9"/>
        <xdr:cNvGraphicFramePr/>
      </xdr:nvGraphicFramePr>
      <xdr:xfrm>
        <a:off x="6848475" y="21288375"/>
        <a:ext cx="5734050" cy="285750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113</xdr:row>
      <xdr:rowOff>9525</xdr:rowOff>
    </xdr:from>
    <xdr:to>
      <xdr:col>8</xdr:col>
      <xdr:colOff>19050</xdr:colOff>
      <xdr:row>133</xdr:row>
      <xdr:rowOff>0</xdr:rowOff>
    </xdr:to>
    <xdr:graphicFrame>
      <xdr:nvGraphicFramePr>
        <xdr:cNvPr id="6" name="Chart 11"/>
        <xdr:cNvGraphicFramePr/>
      </xdr:nvGraphicFramePr>
      <xdr:xfrm>
        <a:off x="76200" y="21297900"/>
        <a:ext cx="6124575" cy="2847975"/>
      </xdr:xfrm>
      <a:graphic>
        <a:graphicData uri="http://schemas.openxmlformats.org/drawingml/2006/chart">
          <c:chart xmlns:c="http://schemas.openxmlformats.org/drawingml/2006/chart" r:id="rId6"/>
        </a:graphicData>
      </a:graphic>
    </xdr:graphicFrame>
    <xdr:clientData/>
  </xdr:twoCellAnchor>
  <xdr:twoCellAnchor editAs="oneCell">
    <xdr:from>
      <xdr:col>13</xdr:col>
      <xdr:colOff>828675</xdr:colOff>
      <xdr:row>0</xdr:row>
      <xdr:rowOff>47625</xdr:rowOff>
    </xdr:from>
    <xdr:to>
      <xdr:col>15</xdr:col>
      <xdr:colOff>762000</xdr:colOff>
      <xdr:row>1</xdr:row>
      <xdr:rowOff>104775</xdr:rowOff>
    </xdr:to>
    <xdr:pic>
      <xdr:nvPicPr>
        <xdr:cNvPr id="7" name="Picture 12" descr="National Grid">
          <a:hlinkClick r:id="rId9"/>
        </xdr:cNvPr>
        <xdr:cNvPicPr preferRelativeResize="1">
          <a:picLocks noChangeAspect="0"/>
        </xdr:cNvPicPr>
      </xdr:nvPicPr>
      <xdr:blipFill>
        <a:blip r:embed="rId7"/>
        <a:stretch>
          <a:fillRect/>
        </a:stretch>
      </xdr:blipFill>
      <xdr:spPr>
        <a:xfrm>
          <a:off x="11068050" y="47625"/>
          <a:ext cx="1514475" cy="323850"/>
        </a:xfrm>
        <a:prstGeom prst="rect">
          <a:avLst/>
        </a:prstGeom>
        <a:noFill/>
        <a:ln w="9525" cmpd="sng">
          <a:noFill/>
        </a:ln>
      </xdr:spPr>
    </xdr:pic>
    <xdr:clientData/>
  </xdr:twoCellAnchor>
  <xdr:twoCellAnchor>
    <xdr:from>
      <xdr:col>1</xdr:col>
      <xdr:colOff>0</xdr:colOff>
      <xdr:row>45</xdr:row>
      <xdr:rowOff>0</xdr:rowOff>
    </xdr:from>
    <xdr:to>
      <xdr:col>8</xdr:col>
      <xdr:colOff>19050</xdr:colOff>
      <xdr:row>68</xdr:row>
      <xdr:rowOff>152400</xdr:rowOff>
    </xdr:to>
    <xdr:graphicFrame>
      <xdr:nvGraphicFramePr>
        <xdr:cNvPr id="8" name="Chart 14"/>
        <xdr:cNvGraphicFramePr/>
      </xdr:nvGraphicFramePr>
      <xdr:xfrm>
        <a:off x="66675" y="8677275"/>
        <a:ext cx="6134100" cy="3876675"/>
      </xdr:xfrm>
      <a:graphic>
        <a:graphicData uri="http://schemas.openxmlformats.org/drawingml/2006/chart">
          <c:chart xmlns:c="http://schemas.openxmlformats.org/drawingml/2006/chart" r:id="rId10"/>
        </a:graphicData>
      </a:graphic>
    </xdr:graphicFrame>
    <xdr:clientData/>
  </xdr:twoCellAnchor>
  <xdr:twoCellAnchor>
    <xdr:from>
      <xdr:col>8</xdr:col>
      <xdr:colOff>657225</xdr:colOff>
      <xdr:row>45</xdr:row>
      <xdr:rowOff>0</xdr:rowOff>
    </xdr:from>
    <xdr:to>
      <xdr:col>16</xdr:col>
      <xdr:colOff>19050</xdr:colOff>
      <xdr:row>68</xdr:row>
      <xdr:rowOff>152400</xdr:rowOff>
    </xdr:to>
    <xdr:graphicFrame>
      <xdr:nvGraphicFramePr>
        <xdr:cNvPr id="9" name="Chart 15"/>
        <xdr:cNvGraphicFramePr/>
      </xdr:nvGraphicFramePr>
      <xdr:xfrm>
        <a:off x="6838950" y="8677275"/>
        <a:ext cx="5781675" cy="3876675"/>
      </xdr:xfrm>
      <a:graphic>
        <a:graphicData uri="http://schemas.openxmlformats.org/drawingml/2006/chart">
          <c:chart xmlns:c="http://schemas.openxmlformats.org/drawingml/2006/chart" r:id="rId11"/>
        </a:graphicData>
      </a:graphic>
    </xdr:graphicFrame>
    <xdr:clientData/>
  </xdr:twoCellAnchor>
  <xdr:twoCellAnchor>
    <xdr:from>
      <xdr:col>1</xdr:col>
      <xdr:colOff>9525</xdr:colOff>
      <xdr:row>7</xdr:row>
      <xdr:rowOff>0</xdr:rowOff>
    </xdr:from>
    <xdr:to>
      <xdr:col>7</xdr:col>
      <xdr:colOff>723900</xdr:colOff>
      <xdr:row>23</xdr:row>
      <xdr:rowOff>28575</xdr:rowOff>
    </xdr:to>
    <xdr:graphicFrame>
      <xdr:nvGraphicFramePr>
        <xdr:cNvPr id="10" name="Chart 16"/>
        <xdr:cNvGraphicFramePr/>
      </xdr:nvGraphicFramePr>
      <xdr:xfrm>
        <a:off x="76200" y="2505075"/>
        <a:ext cx="6086475" cy="2800350"/>
      </xdr:xfrm>
      <a:graphic>
        <a:graphicData uri="http://schemas.openxmlformats.org/drawingml/2006/chart">
          <c:chart xmlns:c="http://schemas.openxmlformats.org/drawingml/2006/chart" r:id="rId12"/>
        </a:graphicData>
      </a:graphic>
    </xdr:graphicFrame>
    <xdr:clientData/>
  </xdr:twoCellAnchor>
  <xdr:twoCellAnchor>
    <xdr:from>
      <xdr:col>1</xdr:col>
      <xdr:colOff>9525</xdr:colOff>
      <xdr:row>24</xdr:row>
      <xdr:rowOff>0</xdr:rowOff>
    </xdr:from>
    <xdr:to>
      <xdr:col>8</xdr:col>
      <xdr:colOff>0</xdr:colOff>
      <xdr:row>40</xdr:row>
      <xdr:rowOff>114300</xdr:rowOff>
    </xdr:to>
    <xdr:graphicFrame>
      <xdr:nvGraphicFramePr>
        <xdr:cNvPr id="11" name="Chart 18"/>
        <xdr:cNvGraphicFramePr/>
      </xdr:nvGraphicFramePr>
      <xdr:xfrm>
        <a:off x="76200" y="5419725"/>
        <a:ext cx="6105525" cy="2562225"/>
      </xdr:xfrm>
      <a:graphic>
        <a:graphicData uri="http://schemas.openxmlformats.org/drawingml/2006/chart">
          <c:chart xmlns:c="http://schemas.openxmlformats.org/drawingml/2006/chart" r:id="rId1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75</xdr:row>
      <xdr:rowOff>0</xdr:rowOff>
    </xdr:from>
    <xdr:to>
      <xdr:col>9</xdr:col>
      <xdr:colOff>0</xdr:colOff>
      <xdr:row>96</xdr:row>
      <xdr:rowOff>9525</xdr:rowOff>
    </xdr:to>
    <xdr:graphicFrame>
      <xdr:nvGraphicFramePr>
        <xdr:cNvPr id="1" name="Chart 1"/>
        <xdr:cNvGraphicFramePr/>
      </xdr:nvGraphicFramePr>
      <xdr:xfrm>
        <a:off x="114300" y="13954125"/>
        <a:ext cx="11239500" cy="30099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27</xdr:row>
      <xdr:rowOff>9525</xdr:rowOff>
    </xdr:from>
    <xdr:to>
      <xdr:col>9</xdr:col>
      <xdr:colOff>9525</xdr:colOff>
      <xdr:row>48</xdr:row>
      <xdr:rowOff>19050</xdr:rowOff>
    </xdr:to>
    <xdr:graphicFrame>
      <xdr:nvGraphicFramePr>
        <xdr:cNvPr id="2" name="Chart 6"/>
        <xdr:cNvGraphicFramePr/>
      </xdr:nvGraphicFramePr>
      <xdr:xfrm>
        <a:off x="114300" y="6115050"/>
        <a:ext cx="11249025" cy="300990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7</xdr:row>
      <xdr:rowOff>9525</xdr:rowOff>
    </xdr:from>
    <xdr:to>
      <xdr:col>4</xdr:col>
      <xdr:colOff>228600</xdr:colOff>
      <xdr:row>23</xdr:row>
      <xdr:rowOff>0</xdr:rowOff>
    </xdr:to>
    <xdr:graphicFrame>
      <xdr:nvGraphicFramePr>
        <xdr:cNvPr id="3" name="Chart 7"/>
        <xdr:cNvGraphicFramePr/>
      </xdr:nvGraphicFramePr>
      <xdr:xfrm>
        <a:off x="114300" y="2733675"/>
        <a:ext cx="4686300" cy="2743200"/>
      </xdr:xfrm>
      <a:graphic>
        <a:graphicData uri="http://schemas.openxmlformats.org/drawingml/2006/chart">
          <c:chart xmlns:c="http://schemas.openxmlformats.org/drawingml/2006/chart" r:id="rId3"/>
        </a:graphicData>
      </a:graphic>
    </xdr:graphicFrame>
    <xdr:clientData/>
  </xdr:twoCellAnchor>
  <xdr:twoCellAnchor>
    <xdr:from>
      <xdr:col>2</xdr:col>
      <xdr:colOff>819150</xdr:colOff>
      <xdr:row>9</xdr:row>
      <xdr:rowOff>66675</xdr:rowOff>
    </xdr:from>
    <xdr:to>
      <xdr:col>3</xdr:col>
      <xdr:colOff>971550</xdr:colOff>
      <xdr:row>12</xdr:row>
      <xdr:rowOff>0</xdr:rowOff>
    </xdr:to>
    <xdr:sp>
      <xdr:nvSpPr>
        <xdr:cNvPr id="4" name="TextBox 9"/>
        <xdr:cNvSpPr txBox="1">
          <a:spLocks noChangeArrowheads="1"/>
        </xdr:cNvSpPr>
      </xdr:nvSpPr>
      <xdr:spPr>
        <a:xfrm>
          <a:off x="2114550" y="3162300"/>
          <a:ext cx="1847850" cy="4572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range
2,857 to 3,157 tonnes</a:t>
          </a:r>
        </a:p>
      </xdr:txBody>
    </xdr:sp>
    <xdr:clientData/>
  </xdr:twoCellAnchor>
  <xdr:twoCellAnchor>
    <xdr:from>
      <xdr:col>2</xdr:col>
      <xdr:colOff>1257300</xdr:colOff>
      <xdr:row>12</xdr:row>
      <xdr:rowOff>9525</xdr:rowOff>
    </xdr:from>
    <xdr:to>
      <xdr:col>3</xdr:col>
      <xdr:colOff>114300</xdr:colOff>
      <xdr:row>14</xdr:row>
      <xdr:rowOff>57150</xdr:rowOff>
    </xdr:to>
    <xdr:sp>
      <xdr:nvSpPr>
        <xdr:cNvPr id="5" name="Line 10"/>
        <xdr:cNvSpPr>
          <a:spLocks/>
        </xdr:cNvSpPr>
      </xdr:nvSpPr>
      <xdr:spPr>
        <a:xfrm flipH="1">
          <a:off x="2552700" y="3629025"/>
          <a:ext cx="5524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485775</xdr:colOff>
      <xdr:row>0</xdr:row>
      <xdr:rowOff>95250</xdr:rowOff>
    </xdr:from>
    <xdr:to>
      <xdr:col>8</xdr:col>
      <xdr:colOff>914400</xdr:colOff>
      <xdr:row>2</xdr:row>
      <xdr:rowOff>0</xdr:rowOff>
    </xdr:to>
    <xdr:pic>
      <xdr:nvPicPr>
        <xdr:cNvPr id="6" name="Picture 11" descr="National Grid">
          <a:hlinkClick r:id="rId6"/>
        </xdr:cNvPr>
        <xdr:cNvPicPr preferRelativeResize="1">
          <a:picLocks noChangeAspect="0"/>
        </xdr:cNvPicPr>
      </xdr:nvPicPr>
      <xdr:blipFill>
        <a:blip r:embed="rId4"/>
        <a:stretch>
          <a:fillRect/>
        </a:stretch>
      </xdr:blipFill>
      <xdr:spPr>
        <a:xfrm>
          <a:off x="6962775" y="95250"/>
          <a:ext cx="1514475" cy="3238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0.20025</cdr:y>
    </cdr:from>
    <cdr:to>
      <cdr:x>0.96825</cdr:x>
      <cdr:y>0.42325</cdr:y>
    </cdr:to>
    <cdr:sp>
      <cdr:nvSpPr>
        <cdr:cNvPr id="1" name="TextBox 5"/>
        <cdr:cNvSpPr txBox="1">
          <a:spLocks noChangeArrowheads="1"/>
        </cdr:cNvSpPr>
      </cdr:nvSpPr>
      <cdr:spPr>
        <a:xfrm>
          <a:off x="3248025" y="514350"/>
          <a:ext cx="1047750" cy="57150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UAG
2,862 GWh</a:t>
          </a:r>
        </a:p>
      </cdr:txBody>
    </cdr:sp>
  </cdr:relSizeAnchor>
  <cdr:relSizeAnchor xmlns:cdr="http://schemas.openxmlformats.org/drawingml/2006/chartDrawing">
    <cdr:from>
      <cdr:x>0.7325</cdr:x>
      <cdr:y>0.37425</cdr:y>
    </cdr:from>
    <cdr:to>
      <cdr:x>0.7325</cdr:x>
      <cdr:y>0.7435</cdr:y>
    </cdr:to>
    <cdr:sp>
      <cdr:nvSpPr>
        <cdr:cNvPr id="2" name="Line 6"/>
        <cdr:cNvSpPr>
          <a:spLocks/>
        </cdr:cNvSpPr>
      </cdr:nvSpPr>
      <cdr:spPr>
        <a:xfrm flipH="1">
          <a:off x="3248025" y="962025"/>
          <a:ext cx="0" cy="952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78</xdr:row>
      <xdr:rowOff>0</xdr:rowOff>
    </xdr:from>
    <xdr:to>
      <xdr:col>9</xdr:col>
      <xdr:colOff>0</xdr:colOff>
      <xdr:row>101</xdr:row>
      <xdr:rowOff>9525</xdr:rowOff>
    </xdr:to>
    <xdr:graphicFrame>
      <xdr:nvGraphicFramePr>
        <xdr:cNvPr id="1" name="Chart 1"/>
        <xdr:cNvGraphicFramePr/>
      </xdr:nvGraphicFramePr>
      <xdr:xfrm>
        <a:off x="104775" y="13258800"/>
        <a:ext cx="11430000" cy="32956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28</xdr:row>
      <xdr:rowOff>0</xdr:rowOff>
    </xdr:from>
    <xdr:to>
      <xdr:col>9</xdr:col>
      <xdr:colOff>0</xdr:colOff>
      <xdr:row>48</xdr:row>
      <xdr:rowOff>114300</xdr:rowOff>
    </xdr:to>
    <xdr:graphicFrame>
      <xdr:nvGraphicFramePr>
        <xdr:cNvPr id="2" name="Chart 4"/>
        <xdr:cNvGraphicFramePr/>
      </xdr:nvGraphicFramePr>
      <xdr:xfrm>
        <a:off x="123825" y="5210175"/>
        <a:ext cx="11410950" cy="29718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7</xdr:row>
      <xdr:rowOff>133350</xdr:rowOff>
    </xdr:from>
    <xdr:to>
      <xdr:col>4</xdr:col>
      <xdr:colOff>457200</xdr:colOff>
      <xdr:row>25</xdr:row>
      <xdr:rowOff>19050</xdr:rowOff>
    </xdr:to>
    <xdr:graphicFrame>
      <xdr:nvGraphicFramePr>
        <xdr:cNvPr id="3" name="Chart 5"/>
        <xdr:cNvGraphicFramePr/>
      </xdr:nvGraphicFramePr>
      <xdr:xfrm>
        <a:off x="104775" y="2171700"/>
        <a:ext cx="4438650" cy="2581275"/>
      </xdr:xfrm>
      <a:graphic>
        <a:graphicData uri="http://schemas.openxmlformats.org/drawingml/2006/chart">
          <c:chart xmlns:c="http://schemas.openxmlformats.org/drawingml/2006/chart" r:id="rId3"/>
        </a:graphicData>
      </a:graphic>
    </xdr:graphicFrame>
    <xdr:clientData/>
  </xdr:twoCellAnchor>
  <xdr:twoCellAnchor editAs="oneCell">
    <xdr:from>
      <xdr:col>7</xdr:col>
      <xdr:colOff>476250</xdr:colOff>
      <xdr:row>0</xdr:row>
      <xdr:rowOff>19050</xdr:rowOff>
    </xdr:from>
    <xdr:to>
      <xdr:col>8</xdr:col>
      <xdr:colOff>904875</xdr:colOff>
      <xdr:row>1</xdr:row>
      <xdr:rowOff>66675</xdr:rowOff>
    </xdr:to>
    <xdr:pic>
      <xdr:nvPicPr>
        <xdr:cNvPr id="4" name="Picture 8" descr="National Grid">
          <a:hlinkClick r:id="rId6"/>
        </xdr:cNvPr>
        <xdr:cNvPicPr preferRelativeResize="1">
          <a:picLocks noChangeAspect="0"/>
        </xdr:cNvPicPr>
      </xdr:nvPicPr>
      <xdr:blipFill>
        <a:blip r:embed="rId4"/>
        <a:stretch>
          <a:fillRect/>
        </a:stretch>
      </xdr:blipFill>
      <xdr:spPr>
        <a:xfrm>
          <a:off x="6867525" y="19050"/>
          <a:ext cx="15144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85725</xdr:rowOff>
    </xdr:from>
    <xdr:to>
      <xdr:col>10</xdr:col>
      <xdr:colOff>0</xdr:colOff>
      <xdr:row>21</xdr:row>
      <xdr:rowOff>9525</xdr:rowOff>
    </xdr:to>
    <xdr:graphicFrame>
      <xdr:nvGraphicFramePr>
        <xdr:cNvPr id="1" name="Chart 1"/>
        <xdr:cNvGraphicFramePr/>
      </xdr:nvGraphicFramePr>
      <xdr:xfrm>
        <a:off x="390525" y="676275"/>
        <a:ext cx="5572125" cy="260032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85725</xdr:rowOff>
    </xdr:from>
    <xdr:to>
      <xdr:col>20</xdr:col>
      <xdr:colOff>9525</xdr:colOff>
      <xdr:row>21</xdr:row>
      <xdr:rowOff>19050</xdr:rowOff>
    </xdr:to>
    <xdr:graphicFrame>
      <xdr:nvGraphicFramePr>
        <xdr:cNvPr id="2" name="Chart 2"/>
        <xdr:cNvGraphicFramePr/>
      </xdr:nvGraphicFramePr>
      <xdr:xfrm>
        <a:off x="6219825" y="676275"/>
        <a:ext cx="5238750" cy="26098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54</xdr:row>
      <xdr:rowOff>76200</xdr:rowOff>
    </xdr:from>
    <xdr:to>
      <xdr:col>10</xdr:col>
      <xdr:colOff>9525</xdr:colOff>
      <xdr:row>71</xdr:row>
      <xdr:rowOff>171450</xdr:rowOff>
    </xdr:to>
    <xdr:graphicFrame>
      <xdr:nvGraphicFramePr>
        <xdr:cNvPr id="3" name="Chart 3"/>
        <xdr:cNvGraphicFramePr/>
      </xdr:nvGraphicFramePr>
      <xdr:xfrm>
        <a:off x="390525" y="8153400"/>
        <a:ext cx="5581650" cy="2838450"/>
      </xdr:xfrm>
      <a:graphic>
        <a:graphicData uri="http://schemas.openxmlformats.org/drawingml/2006/chart">
          <c:chart xmlns:c="http://schemas.openxmlformats.org/drawingml/2006/chart" r:id="rId3"/>
        </a:graphicData>
      </a:graphic>
    </xdr:graphicFrame>
    <xdr:clientData/>
  </xdr:twoCellAnchor>
  <xdr:twoCellAnchor>
    <xdr:from>
      <xdr:col>11</xdr:col>
      <xdr:colOff>28575</xdr:colOff>
      <xdr:row>54</xdr:row>
      <xdr:rowOff>76200</xdr:rowOff>
    </xdr:from>
    <xdr:to>
      <xdr:col>20</xdr:col>
      <xdr:colOff>0</xdr:colOff>
      <xdr:row>71</xdr:row>
      <xdr:rowOff>171450</xdr:rowOff>
    </xdr:to>
    <xdr:graphicFrame>
      <xdr:nvGraphicFramePr>
        <xdr:cNvPr id="4" name="Chart 4"/>
        <xdr:cNvGraphicFramePr/>
      </xdr:nvGraphicFramePr>
      <xdr:xfrm>
        <a:off x="6229350" y="8153400"/>
        <a:ext cx="5219700" cy="2838450"/>
      </xdr:xfrm>
      <a:graphic>
        <a:graphicData uri="http://schemas.openxmlformats.org/drawingml/2006/chart">
          <c:chart xmlns:c="http://schemas.openxmlformats.org/drawingml/2006/chart" r:id="rId4"/>
        </a:graphicData>
      </a:graphic>
    </xdr:graphicFrame>
    <xdr:clientData/>
  </xdr:twoCellAnchor>
  <xdr:twoCellAnchor>
    <xdr:from>
      <xdr:col>1</xdr:col>
      <xdr:colOff>28575</xdr:colOff>
      <xdr:row>116</xdr:row>
      <xdr:rowOff>85725</xdr:rowOff>
    </xdr:from>
    <xdr:to>
      <xdr:col>9</xdr:col>
      <xdr:colOff>523875</xdr:colOff>
      <xdr:row>134</xdr:row>
      <xdr:rowOff>0</xdr:rowOff>
    </xdr:to>
    <xdr:graphicFrame>
      <xdr:nvGraphicFramePr>
        <xdr:cNvPr id="5" name="Chart 5"/>
        <xdr:cNvGraphicFramePr/>
      </xdr:nvGraphicFramePr>
      <xdr:xfrm>
        <a:off x="409575" y="16163925"/>
        <a:ext cx="5543550" cy="2847975"/>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116</xdr:row>
      <xdr:rowOff>85725</xdr:rowOff>
    </xdr:from>
    <xdr:to>
      <xdr:col>20</xdr:col>
      <xdr:colOff>0</xdr:colOff>
      <xdr:row>133</xdr:row>
      <xdr:rowOff>47625</xdr:rowOff>
    </xdr:to>
    <xdr:graphicFrame>
      <xdr:nvGraphicFramePr>
        <xdr:cNvPr id="6" name="Chart 6"/>
        <xdr:cNvGraphicFramePr/>
      </xdr:nvGraphicFramePr>
      <xdr:xfrm>
        <a:off x="6200775" y="16163925"/>
        <a:ext cx="5248275" cy="27146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28</xdr:row>
      <xdr:rowOff>95250</xdr:rowOff>
    </xdr:from>
    <xdr:to>
      <xdr:col>10</xdr:col>
      <xdr:colOff>0</xdr:colOff>
      <xdr:row>45</xdr:row>
      <xdr:rowOff>19050</xdr:rowOff>
    </xdr:to>
    <xdr:graphicFrame>
      <xdr:nvGraphicFramePr>
        <xdr:cNvPr id="7" name="Chart 7"/>
        <xdr:cNvGraphicFramePr/>
      </xdr:nvGraphicFramePr>
      <xdr:xfrm>
        <a:off x="381000" y="4381500"/>
        <a:ext cx="5581650" cy="2733675"/>
      </xdr:xfrm>
      <a:graphic>
        <a:graphicData uri="http://schemas.openxmlformats.org/drawingml/2006/chart">
          <c:chart xmlns:c="http://schemas.openxmlformats.org/drawingml/2006/chart" r:id="rId7"/>
        </a:graphicData>
      </a:graphic>
    </xdr:graphicFrame>
    <xdr:clientData/>
  </xdr:twoCellAnchor>
  <xdr:twoCellAnchor>
    <xdr:from>
      <xdr:col>11</xdr:col>
      <xdr:colOff>0</xdr:colOff>
      <xdr:row>28</xdr:row>
      <xdr:rowOff>95250</xdr:rowOff>
    </xdr:from>
    <xdr:to>
      <xdr:col>20</xdr:col>
      <xdr:colOff>0</xdr:colOff>
      <xdr:row>45</xdr:row>
      <xdr:rowOff>19050</xdr:rowOff>
    </xdr:to>
    <xdr:graphicFrame>
      <xdr:nvGraphicFramePr>
        <xdr:cNvPr id="8" name="Chart 8"/>
        <xdr:cNvGraphicFramePr/>
      </xdr:nvGraphicFramePr>
      <xdr:xfrm>
        <a:off x="6200775" y="4381500"/>
        <a:ext cx="5248275" cy="2733675"/>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85</xdr:row>
      <xdr:rowOff>85725</xdr:rowOff>
    </xdr:from>
    <xdr:to>
      <xdr:col>10</xdr:col>
      <xdr:colOff>19050</xdr:colOff>
      <xdr:row>103</xdr:row>
      <xdr:rowOff>9525</xdr:rowOff>
    </xdr:to>
    <xdr:graphicFrame>
      <xdr:nvGraphicFramePr>
        <xdr:cNvPr id="9" name="Chart 9"/>
        <xdr:cNvGraphicFramePr/>
      </xdr:nvGraphicFramePr>
      <xdr:xfrm>
        <a:off x="390525" y="12401550"/>
        <a:ext cx="5591175" cy="285750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85</xdr:row>
      <xdr:rowOff>85725</xdr:rowOff>
    </xdr:from>
    <xdr:to>
      <xdr:col>20</xdr:col>
      <xdr:colOff>0</xdr:colOff>
      <xdr:row>103</xdr:row>
      <xdr:rowOff>19050</xdr:rowOff>
    </xdr:to>
    <xdr:graphicFrame>
      <xdr:nvGraphicFramePr>
        <xdr:cNvPr id="10" name="Chart 17"/>
        <xdr:cNvGraphicFramePr/>
      </xdr:nvGraphicFramePr>
      <xdr:xfrm>
        <a:off x="6200775" y="12401550"/>
        <a:ext cx="5248275" cy="2867025"/>
      </xdr:xfrm>
      <a:graphic>
        <a:graphicData uri="http://schemas.openxmlformats.org/drawingml/2006/chart">
          <c:chart xmlns:c="http://schemas.openxmlformats.org/drawingml/2006/chart" r:id="rId10"/>
        </a:graphicData>
      </a:graphic>
    </xdr:graphicFrame>
    <xdr:clientData/>
  </xdr:twoCellAnchor>
  <xdr:twoCellAnchor>
    <xdr:from>
      <xdr:col>0</xdr:col>
      <xdr:colOff>161925</xdr:colOff>
      <xdr:row>0</xdr:row>
      <xdr:rowOff>28575</xdr:rowOff>
    </xdr:from>
    <xdr:to>
      <xdr:col>20</xdr:col>
      <xdr:colOff>247650</xdr:colOff>
      <xdr:row>145</xdr:row>
      <xdr:rowOff>0</xdr:rowOff>
    </xdr:to>
    <xdr:sp>
      <xdr:nvSpPr>
        <xdr:cNvPr id="11" name="Rectangle 19"/>
        <xdr:cNvSpPr>
          <a:spLocks/>
        </xdr:cNvSpPr>
      </xdr:nvSpPr>
      <xdr:spPr>
        <a:xfrm>
          <a:off x="161925" y="28575"/>
          <a:ext cx="11534775" cy="20040600"/>
        </a:xfrm>
        <a:prstGeom prst="rect">
          <a:avLst/>
        </a:prstGeom>
        <a:noFill/>
        <a:ln w="25400" cmpd="sng">
          <a:solidFill>
            <a:srgbClr val="3D66F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123825</xdr:colOff>
      <xdr:row>0</xdr:row>
      <xdr:rowOff>57150</xdr:rowOff>
    </xdr:from>
    <xdr:to>
      <xdr:col>20</xdr:col>
      <xdr:colOff>47625</xdr:colOff>
      <xdr:row>3</xdr:row>
      <xdr:rowOff>38100</xdr:rowOff>
    </xdr:to>
    <xdr:pic>
      <xdr:nvPicPr>
        <xdr:cNvPr id="12" name="Picture 22" descr="National Grid">
          <a:hlinkClick r:id="rId13"/>
        </xdr:cNvPr>
        <xdr:cNvPicPr preferRelativeResize="1">
          <a:picLocks noChangeAspect="0"/>
        </xdr:cNvPicPr>
      </xdr:nvPicPr>
      <xdr:blipFill>
        <a:blip r:embed="rId11"/>
        <a:stretch>
          <a:fillRect/>
        </a:stretch>
      </xdr:blipFill>
      <xdr:spPr>
        <a:xfrm>
          <a:off x="9982200" y="57150"/>
          <a:ext cx="1514475" cy="32385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0.63875</cdr:x>
      <cdr:y>0.20075</cdr:y>
    </cdr:from>
    <cdr:to>
      <cdr:x>0.80125</cdr:x>
      <cdr:y>0.33925</cdr:y>
    </cdr:to>
    <cdr:sp>
      <cdr:nvSpPr>
        <cdr:cNvPr id="1" name="TextBox 1"/>
        <cdr:cNvSpPr txBox="1">
          <a:spLocks noChangeArrowheads="1"/>
        </cdr:cNvSpPr>
      </cdr:nvSpPr>
      <cdr:spPr>
        <a:xfrm>
          <a:off x="4495800" y="619125"/>
          <a:ext cx="1143000" cy="42862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cost
£16.71m</a:t>
          </a:r>
        </a:p>
      </cdr:txBody>
    </cdr:sp>
  </cdr:relSizeAnchor>
  <cdr:relSizeAnchor xmlns:cdr="http://schemas.openxmlformats.org/drawingml/2006/chartDrawing">
    <cdr:from>
      <cdr:x>0.60325</cdr:x>
      <cdr:y>0.33925</cdr:y>
    </cdr:from>
    <cdr:to>
      <cdr:x>0.63775</cdr:x>
      <cdr:y>0.43125</cdr:y>
    </cdr:to>
    <cdr:sp>
      <cdr:nvSpPr>
        <cdr:cNvPr id="2" name="Line 2"/>
        <cdr:cNvSpPr>
          <a:spLocks/>
        </cdr:cNvSpPr>
      </cdr:nvSpPr>
      <cdr:spPr>
        <a:xfrm flipH="1">
          <a:off x="4248150" y="1047750"/>
          <a:ext cx="2476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68</xdr:row>
      <xdr:rowOff>9525</xdr:rowOff>
    </xdr:from>
    <xdr:to>
      <xdr:col>17</xdr:col>
      <xdr:colOff>0</xdr:colOff>
      <xdr:row>93</xdr:row>
      <xdr:rowOff>123825</xdr:rowOff>
    </xdr:to>
    <xdr:graphicFrame>
      <xdr:nvGraphicFramePr>
        <xdr:cNvPr id="1" name="Chart 3"/>
        <xdr:cNvGraphicFramePr/>
      </xdr:nvGraphicFramePr>
      <xdr:xfrm>
        <a:off x="95250" y="19850100"/>
        <a:ext cx="12106275" cy="620077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22</xdr:row>
      <xdr:rowOff>0</xdr:rowOff>
    </xdr:from>
    <xdr:to>
      <xdr:col>17</xdr:col>
      <xdr:colOff>0</xdr:colOff>
      <xdr:row>48</xdr:row>
      <xdr:rowOff>0</xdr:rowOff>
    </xdr:to>
    <xdr:graphicFrame>
      <xdr:nvGraphicFramePr>
        <xdr:cNvPr id="2" name="Chart 10"/>
        <xdr:cNvGraphicFramePr/>
      </xdr:nvGraphicFramePr>
      <xdr:xfrm>
        <a:off x="104775" y="4943475"/>
        <a:ext cx="12096750" cy="6086475"/>
      </xdr:xfrm>
      <a:graphic>
        <a:graphicData uri="http://schemas.openxmlformats.org/drawingml/2006/chart">
          <c:chart xmlns:c="http://schemas.openxmlformats.org/drawingml/2006/chart" r:id="rId2"/>
        </a:graphicData>
      </a:graphic>
    </xdr:graphicFrame>
    <xdr:clientData/>
  </xdr:twoCellAnchor>
  <xdr:twoCellAnchor>
    <xdr:from>
      <xdr:col>2</xdr:col>
      <xdr:colOff>38100</xdr:colOff>
      <xdr:row>5</xdr:row>
      <xdr:rowOff>0</xdr:rowOff>
    </xdr:from>
    <xdr:to>
      <xdr:col>10</xdr:col>
      <xdr:colOff>485775</xdr:colOff>
      <xdr:row>20</xdr:row>
      <xdr:rowOff>0</xdr:rowOff>
    </xdr:to>
    <xdr:graphicFrame>
      <xdr:nvGraphicFramePr>
        <xdr:cNvPr id="3" name="Chart 11"/>
        <xdr:cNvGraphicFramePr/>
      </xdr:nvGraphicFramePr>
      <xdr:xfrm>
        <a:off x="133350" y="1457325"/>
        <a:ext cx="7048500" cy="3095625"/>
      </xdr:xfrm>
      <a:graphic>
        <a:graphicData uri="http://schemas.openxmlformats.org/drawingml/2006/chart">
          <c:chart xmlns:c="http://schemas.openxmlformats.org/drawingml/2006/chart" r:id="rId3"/>
        </a:graphicData>
      </a:graphic>
    </xdr:graphicFrame>
    <xdr:clientData/>
  </xdr:twoCellAnchor>
  <xdr:twoCellAnchor editAs="oneCell">
    <xdr:from>
      <xdr:col>14</xdr:col>
      <xdr:colOff>257175</xdr:colOff>
      <xdr:row>0</xdr:row>
      <xdr:rowOff>38100</xdr:rowOff>
    </xdr:from>
    <xdr:to>
      <xdr:col>16</xdr:col>
      <xdr:colOff>619125</xdr:colOff>
      <xdr:row>1</xdr:row>
      <xdr:rowOff>123825</xdr:rowOff>
    </xdr:to>
    <xdr:pic>
      <xdr:nvPicPr>
        <xdr:cNvPr id="4" name="Picture 12" descr="National Grid">
          <a:hlinkClick r:id="rId6"/>
        </xdr:cNvPr>
        <xdr:cNvPicPr preferRelativeResize="1">
          <a:picLocks noChangeAspect="0"/>
        </xdr:cNvPicPr>
      </xdr:nvPicPr>
      <xdr:blipFill>
        <a:blip r:embed="rId4"/>
        <a:stretch>
          <a:fillRect/>
        </a:stretch>
      </xdr:blipFill>
      <xdr:spPr>
        <a:xfrm>
          <a:off x="10506075" y="38100"/>
          <a:ext cx="1581150" cy="33337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0.6285</cdr:x>
      <cdr:y>0.0175</cdr:y>
    </cdr:from>
    <cdr:to>
      <cdr:x>1</cdr:x>
      <cdr:y>0.11925</cdr:y>
    </cdr:to>
    <cdr:grpSp>
      <cdr:nvGrpSpPr>
        <cdr:cNvPr id="1" name="Group 5"/>
        <cdr:cNvGrpSpPr>
          <a:grpSpLocks/>
        </cdr:cNvGrpSpPr>
      </cdr:nvGrpSpPr>
      <cdr:grpSpPr>
        <a:xfrm>
          <a:off x="2838450" y="38100"/>
          <a:ext cx="1714500" cy="266700"/>
          <a:chOff x="266" y="1302"/>
          <a:chExt cx="227" cy="30"/>
        </a:xfrm>
        <a:solidFill>
          <a:srgbClr val="FFFFFF"/>
        </a:solidFill>
      </cdr:grpSpPr>
      <cdr:sp>
        <cdr:nvSpPr>
          <cdr:cNvPr id="2" name="Rectangle 6"/>
          <cdr:cNvSpPr>
            <a:spLocks/>
          </cdr:cNvSpPr>
        </cdr:nvSpPr>
        <cdr:spPr>
          <a:xfrm>
            <a:off x="266" y="-49497"/>
            <a:ext cx="227" cy="3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Text Box 7"/>
          <cdr:cNvSpPr txBox="1">
            <a:spLocks noChangeArrowheads="1"/>
          </cdr:cNvSpPr>
        </cdr:nvSpPr>
        <cdr:spPr>
          <a:xfrm>
            <a:off x="266" y="-49490"/>
            <a:ext cx="203" cy="23"/>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Key: Latest View                Budget</a:t>
            </a:r>
          </a:p>
        </cdr:txBody>
      </cdr:sp>
      <cdr:sp>
        <cdr:nvSpPr>
          <cdr:cNvPr id="4" name="Rectangle 8"/>
          <cdr:cNvSpPr>
            <a:spLocks/>
          </cdr:cNvSpPr>
        </cdr:nvSpPr>
        <cdr:spPr>
          <a:xfrm>
            <a:off x="266" y="-49487"/>
            <a:ext cx="20" cy="14"/>
          </a:xfrm>
          <a:prstGeom prst="rect">
            <a:avLst/>
          </a:prstGeom>
          <a:solidFill>
            <a:srgbClr val="FF8800"/>
          </a:solidFill>
          <a:ln w="9525" cmpd="sng">
            <a:solidFill>
              <a:srgbClr val="FF88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Oval 9"/>
          <cdr:cNvSpPr>
            <a:spLocks/>
          </cdr:cNvSpPr>
        </cdr:nvSpPr>
        <cdr:spPr>
          <a:xfrm>
            <a:off x="266" y="-49487"/>
            <a:ext cx="21" cy="14"/>
          </a:xfrm>
          <a:prstGeom prst="ellipse">
            <a:avLst/>
          </a:prstGeom>
          <a:solidFill>
            <a:srgbClr val="60ED84"/>
          </a:solidFill>
          <a:ln w="9525" cmpd="sng">
            <a:solidFill>
              <a:srgbClr val="60ED84"/>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81</xdr:row>
      <xdr:rowOff>0</xdr:rowOff>
    </xdr:from>
    <xdr:to>
      <xdr:col>11</xdr:col>
      <xdr:colOff>9525</xdr:colOff>
      <xdr:row>102</xdr:row>
      <xdr:rowOff>9525</xdr:rowOff>
    </xdr:to>
    <xdr:graphicFrame>
      <xdr:nvGraphicFramePr>
        <xdr:cNvPr id="1" name="Chart 1"/>
        <xdr:cNvGraphicFramePr/>
      </xdr:nvGraphicFramePr>
      <xdr:xfrm>
        <a:off x="114300" y="14649450"/>
        <a:ext cx="11410950" cy="30003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29</xdr:row>
      <xdr:rowOff>0</xdr:rowOff>
    </xdr:from>
    <xdr:to>
      <xdr:col>11</xdr:col>
      <xdr:colOff>9525</xdr:colOff>
      <xdr:row>56</xdr:row>
      <xdr:rowOff>0</xdr:rowOff>
    </xdr:to>
    <xdr:graphicFrame>
      <xdr:nvGraphicFramePr>
        <xdr:cNvPr id="2" name="Chart 20"/>
        <xdr:cNvGraphicFramePr/>
      </xdr:nvGraphicFramePr>
      <xdr:xfrm>
        <a:off x="95250" y="6029325"/>
        <a:ext cx="11430000" cy="38576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xdr:row>
      <xdr:rowOff>0</xdr:rowOff>
    </xdr:from>
    <xdr:to>
      <xdr:col>6</xdr:col>
      <xdr:colOff>390525</xdr:colOff>
      <xdr:row>24</xdr:row>
      <xdr:rowOff>133350</xdr:rowOff>
    </xdr:to>
    <xdr:graphicFrame>
      <xdr:nvGraphicFramePr>
        <xdr:cNvPr id="3" name="Chart 35"/>
        <xdr:cNvGraphicFramePr/>
      </xdr:nvGraphicFramePr>
      <xdr:xfrm>
        <a:off x="104775" y="2743200"/>
        <a:ext cx="4524375" cy="2647950"/>
      </xdr:xfrm>
      <a:graphic>
        <a:graphicData uri="http://schemas.openxmlformats.org/drawingml/2006/chart">
          <c:chart xmlns:c="http://schemas.openxmlformats.org/drawingml/2006/chart" r:id="rId3"/>
        </a:graphicData>
      </a:graphic>
    </xdr:graphicFrame>
    <xdr:clientData/>
  </xdr:twoCellAnchor>
  <xdr:twoCellAnchor>
    <xdr:from>
      <xdr:col>4</xdr:col>
      <xdr:colOff>742950</xdr:colOff>
      <xdr:row>15</xdr:row>
      <xdr:rowOff>47625</xdr:rowOff>
    </xdr:from>
    <xdr:to>
      <xdr:col>6</xdr:col>
      <xdr:colOff>57150</xdr:colOff>
      <xdr:row>18</xdr:row>
      <xdr:rowOff>38100</xdr:rowOff>
    </xdr:to>
    <xdr:sp>
      <xdr:nvSpPr>
        <xdr:cNvPr id="4" name="TextBox 48"/>
        <xdr:cNvSpPr txBox="1">
          <a:spLocks noChangeArrowheads="1"/>
        </xdr:cNvSpPr>
      </xdr:nvSpPr>
      <xdr:spPr>
        <a:xfrm>
          <a:off x="3343275" y="3771900"/>
          <a:ext cx="952500" cy="4191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error
2.75%</a:t>
          </a:r>
        </a:p>
      </xdr:txBody>
    </xdr:sp>
    <xdr:clientData/>
  </xdr:twoCellAnchor>
  <xdr:twoCellAnchor>
    <xdr:from>
      <xdr:col>4</xdr:col>
      <xdr:colOff>742950</xdr:colOff>
      <xdr:row>18</xdr:row>
      <xdr:rowOff>38100</xdr:rowOff>
    </xdr:from>
    <xdr:to>
      <xdr:col>5</xdr:col>
      <xdr:colOff>161925</xdr:colOff>
      <xdr:row>19</xdr:row>
      <xdr:rowOff>200025</xdr:rowOff>
    </xdr:to>
    <xdr:sp>
      <xdr:nvSpPr>
        <xdr:cNvPr id="5" name="Line 49"/>
        <xdr:cNvSpPr>
          <a:spLocks/>
        </xdr:cNvSpPr>
      </xdr:nvSpPr>
      <xdr:spPr>
        <a:xfrm flipH="1">
          <a:off x="3343275" y="4191000"/>
          <a:ext cx="22860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28575</xdr:colOff>
      <xdr:row>0</xdr:row>
      <xdr:rowOff>47625</xdr:rowOff>
    </xdr:from>
    <xdr:to>
      <xdr:col>10</xdr:col>
      <xdr:colOff>1543050</xdr:colOff>
      <xdr:row>1</xdr:row>
      <xdr:rowOff>95250</xdr:rowOff>
    </xdr:to>
    <xdr:pic>
      <xdr:nvPicPr>
        <xdr:cNvPr id="6" name="Picture 51" descr="National Grid">
          <a:hlinkClick r:id="rId6"/>
        </xdr:cNvPr>
        <xdr:cNvPicPr preferRelativeResize="1">
          <a:picLocks noChangeAspect="0"/>
        </xdr:cNvPicPr>
      </xdr:nvPicPr>
      <xdr:blipFill>
        <a:blip r:embed="rId4"/>
        <a:stretch>
          <a:fillRect/>
        </a:stretch>
      </xdr:blipFill>
      <xdr:spPr>
        <a:xfrm>
          <a:off x="7562850" y="47625"/>
          <a:ext cx="151447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98</xdr:row>
      <xdr:rowOff>9525</xdr:rowOff>
    </xdr:from>
    <xdr:to>
      <xdr:col>7</xdr:col>
      <xdr:colOff>600075</xdr:colOff>
      <xdr:row>124</xdr:row>
      <xdr:rowOff>133350</xdr:rowOff>
    </xdr:to>
    <xdr:graphicFrame>
      <xdr:nvGraphicFramePr>
        <xdr:cNvPr id="1" name="Chart 4"/>
        <xdr:cNvGraphicFramePr/>
      </xdr:nvGraphicFramePr>
      <xdr:xfrm>
        <a:off x="123825" y="18268950"/>
        <a:ext cx="5772150" cy="3838575"/>
      </xdr:xfrm>
      <a:graphic>
        <a:graphicData uri="http://schemas.openxmlformats.org/drawingml/2006/chart">
          <c:chart xmlns:c="http://schemas.openxmlformats.org/drawingml/2006/chart" r:id="rId1"/>
        </a:graphicData>
      </a:graphic>
    </xdr:graphicFrame>
    <xdr:clientData/>
  </xdr:twoCellAnchor>
  <xdr:twoCellAnchor>
    <xdr:from>
      <xdr:col>8</xdr:col>
      <xdr:colOff>581025</xdr:colOff>
      <xdr:row>98</xdr:row>
      <xdr:rowOff>9525</xdr:rowOff>
    </xdr:from>
    <xdr:to>
      <xdr:col>17</xdr:col>
      <xdr:colOff>19050</xdr:colOff>
      <xdr:row>124</xdr:row>
      <xdr:rowOff>133350</xdr:rowOff>
    </xdr:to>
    <xdr:graphicFrame>
      <xdr:nvGraphicFramePr>
        <xdr:cNvPr id="2" name="Chart 5"/>
        <xdr:cNvGraphicFramePr/>
      </xdr:nvGraphicFramePr>
      <xdr:xfrm>
        <a:off x="6486525" y="18268950"/>
        <a:ext cx="4838700" cy="383857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38</xdr:row>
      <xdr:rowOff>133350</xdr:rowOff>
    </xdr:from>
    <xdr:to>
      <xdr:col>7</xdr:col>
      <xdr:colOff>600075</xdr:colOff>
      <xdr:row>60</xdr:row>
      <xdr:rowOff>133350</xdr:rowOff>
    </xdr:to>
    <xdr:graphicFrame>
      <xdr:nvGraphicFramePr>
        <xdr:cNvPr id="3" name="Chart 7"/>
        <xdr:cNvGraphicFramePr/>
      </xdr:nvGraphicFramePr>
      <xdr:xfrm>
        <a:off x="133350" y="8877300"/>
        <a:ext cx="5762625" cy="31432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14</xdr:row>
      <xdr:rowOff>9525</xdr:rowOff>
    </xdr:from>
    <xdr:to>
      <xdr:col>7</xdr:col>
      <xdr:colOff>600075</xdr:colOff>
      <xdr:row>33</xdr:row>
      <xdr:rowOff>133350</xdr:rowOff>
    </xdr:to>
    <xdr:graphicFrame>
      <xdr:nvGraphicFramePr>
        <xdr:cNvPr id="4" name="Chart 8"/>
        <xdr:cNvGraphicFramePr/>
      </xdr:nvGraphicFramePr>
      <xdr:xfrm>
        <a:off x="133350" y="5143500"/>
        <a:ext cx="5762625" cy="29622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127</xdr:row>
      <xdr:rowOff>0</xdr:rowOff>
    </xdr:from>
    <xdr:to>
      <xdr:col>8</xdr:col>
      <xdr:colOff>0</xdr:colOff>
      <xdr:row>149</xdr:row>
      <xdr:rowOff>9525</xdr:rowOff>
    </xdr:to>
    <xdr:graphicFrame>
      <xdr:nvGraphicFramePr>
        <xdr:cNvPr id="5" name="Chart 10"/>
        <xdr:cNvGraphicFramePr/>
      </xdr:nvGraphicFramePr>
      <xdr:xfrm>
        <a:off x="123825" y="22402800"/>
        <a:ext cx="5781675" cy="3152775"/>
      </xdr:xfrm>
      <a:graphic>
        <a:graphicData uri="http://schemas.openxmlformats.org/drawingml/2006/chart">
          <c:chart xmlns:c="http://schemas.openxmlformats.org/drawingml/2006/chart" r:id="rId5"/>
        </a:graphicData>
      </a:graphic>
    </xdr:graphicFrame>
    <xdr:clientData/>
  </xdr:twoCellAnchor>
  <xdr:twoCellAnchor>
    <xdr:from>
      <xdr:col>9</xdr:col>
      <xdr:colOff>19050</xdr:colOff>
      <xdr:row>39</xdr:row>
      <xdr:rowOff>0</xdr:rowOff>
    </xdr:from>
    <xdr:to>
      <xdr:col>17</xdr:col>
      <xdr:colOff>0</xdr:colOff>
      <xdr:row>60</xdr:row>
      <xdr:rowOff>133350</xdr:rowOff>
    </xdr:to>
    <xdr:graphicFrame>
      <xdr:nvGraphicFramePr>
        <xdr:cNvPr id="6" name="Chart 12"/>
        <xdr:cNvGraphicFramePr/>
      </xdr:nvGraphicFramePr>
      <xdr:xfrm>
        <a:off x="6515100" y="8886825"/>
        <a:ext cx="4791075" cy="3133725"/>
      </xdr:xfrm>
      <a:graphic>
        <a:graphicData uri="http://schemas.openxmlformats.org/drawingml/2006/chart">
          <c:chart xmlns:c="http://schemas.openxmlformats.org/drawingml/2006/chart" r:id="rId6"/>
        </a:graphicData>
      </a:graphic>
    </xdr:graphicFrame>
    <xdr:clientData/>
  </xdr:twoCellAnchor>
  <xdr:twoCellAnchor editAs="oneCell">
    <xdr:from>
      <xdr:col>14</xdr:col>
      <xdr:colOff>180975</xdr:colOff>
      <xdr:row>0</xdr:row>
      <xdr:rowOff>38100</xdr:rowOff>
    </xdr:from>
    <xdr:to>
      <xdr:col>16</xdr:col>
      <xdr:colOff>523875</xdr:colOff>
      <xdr:row>1</xdr:row>
      <xdr:rowOff>57150</xdr:rowOff>
    </xdr:to>
    <xdr:pic>
      <xdr:nvPicPr>
        <xdr:cNvPr id="7" name="Picture 13" descr="National Grid">
          <a:hlinkClick r:id="rId9"/>
        </xdr:cNvPr>
        <xdr:cNvPicPr preferRelativeResize="1">
          <a:picLocks noChangeAspect="0"/>
        </xdr:cNvPicPr>
      </xdr:nvPicPr>
      <xdr:blipFill>
        <a:blip r:embed="rId7"/>
        <a:stretch>
          <a:fillRect/>
        </a:stretch>
      </xdr:blipFill>
      <xdr:spPr>
        <a:xfrm>
          <a:off x="9667875" y="38100"/>
          <a:ext cx="1514475"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19050</xdr:rowOff>
    </xdr:from>
    <xdr:to>
      <xdr:col>6</xdr:col>
      <xdr:colOff>9525</xdr:colOff>
      <xdr:row>26</xdr:row>
      <xdr:rowOff>9525</xdr:rowOff>
    </xdr:to>
    <xdr:graphicFrame>
      <xdr:nvGraphicFramePr>
        <xdr:cNvPr id="1" name="Chart 1"/>
        <xdr:cNvGraphicFramePr/>
      </xdr:nvGraphicFramePr>
      <xdr:xfrm>
        <a:off x="85725" y="3295650"/>
        <a:ext cx="6191250" cy="2933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86</xdr:row>
      <xdr:rowOff>9525</xdr:rowOff>
    </xdr:from>
    <xdr:to>
      <xdr:col>5</xdr:col>
      <xdr:colOff>9525</xdr:colOff>
      <xdr:row>107</xdr:row>
      <xdr:rowOff>0</xdr:rowOff>
    </xdr:to>
    <xdr:graphicFrame>
      <xdr:nvGraphicFramePr>
        <xdr:cNvPr id="2" name="Chart 3"/>
        <xdr:cNvGraphicFramePr/>
      </xdr:nvGraphicFramePr>
      <xdr:xfrm>
        <a:off x="76200" y="16421100"/>
        <a:ext cx="57150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117</xdr:row>
      <xdr:rowOff>0</xdr:rowOff>
    </xdr:from>
    <xdr:to>
      <xdr:col>5</xdr:col>
      <xdr:colOff>0</xdr:colOff>
      <xdr:row>138</xdr:row>
      <xdr:rowOff>0</xdr:rowOff>
    </xdr:to>
    <xdr:graphicFrame>
      <xdr:nvGraphicFramePr>
        <xdr:cNvPr id="3" name="Chart 4"/>
        <xdr:cNvGraphicFramePr/>
      </xdr:nvGraphicFramePr>
      <xdr:xfrm>
        <a:off x="66675" y="21621750"/>
        <a:ext cx="5715000" cy="3400425"/>
      </xdr:xfrm>
      <a:graphic>
        <a:graphicData uri="http://schemas.openxmlformats.org/drawingml/2006/chart">
          <c:chart xmlns:c="http://schemas.openxmlformats.org/drawingml/2006/chart" r:id="rId3"/>
        </a:graphicData>
      </a:graphic>
    </xdr:graphicFrame>
    <xdr:clientData/>
  </xdr:twoCellAnchor>
  <xdr:twoCellAnchor>
    <xdr:from>
      <xdr:col>2</xdr:col>
      <xdr:colOff>409575</xdr:colOff>
      <xdr:row>12</xdr:row>
      <xdr:rowOff>123825</xdr:rowOff>
    </xdr:from>
    <xdr:to>
      <xdr:col>4</xdr:col>
      <xdr:colOff>0</xdr:colOff>
      <xdr:row>15</xdr:row>
      <xdr:rowOff>66675</xdr:rowOff>
    </xdr:to>
    <xdr:sp>
      <xdr:nvSpPr>
        <xdr:cNvPr id="4" name="TextBox 6"/>
        <xdr:cNvSpPr txBox="1">
          <a:spLocks noChangeArrowheads="1"/>
        </xdr:cNvSpPr>
      </xdr:nvSpPr>
      <xdr:spPr>
        <a:xfrm>
          <a:off x="4467225" y="4076700"/>
          <a:ext cx="676275" cy="4286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Cost</a:t>
          </a:r>
        </a:p>
      </xdr:txBody>
    </xdr:sp>
    <xdr:clientData/>
  </xdr:twoCellAnchor>
  <xdr:twoCellAnchor>
    <xdr:from>
      <xdr:col>1</xdr:col>
      <xdr:colOff>3438525</xdr:colOff>
      <xdr:row>15</xdr:row>
      <xdr:rowOff>66675</xdr:rowOff>
    </xdr:from>
    <xdr:to>
      <xdr:col>2</xdr:col>
      <xdr:colOff>428625</xdr:colOff>
      <xdr:row>16</xdr:row>
      <xdr:rowOff>19050</xdr:rowOff>
    </xdr:to>
    <xdr:sp>
      <xdr:nvSpPr>
        <xdr:cNvPr id="5" name="Line 7"/>
        <xdr:cNvSpPr>
          <a:spLocks/>
        </xdr:cNvSpPr>
      </xdr:nvSpPr>
      <xdr:spPr>
        <a:xfrm flipH="1">
          <a:off x="3505200" y="4505325"/>
          <a:ext cx="9810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41</xdr:row>
      <xdr:rowOff>9525</xdr:rowOff>
    </xdr:from>
    <xdr:to>
      <xdr:col>14</xdr:col>
      <xdr:colOff>438150</xdr:colOff>
      <xdr:row>64</xdr:row>
      <xdr:rowOff>152400</xdr:rowOff>
    </xdr:to>
    <xdr:graphicFrame>
      <xdr:nvGraphicFramePr>
        <xdr:cNvPr id="6" name="Chart 8"/>
        <xdr:cNvGraphicFramePr/>
      </xdr:nvGraphicFramePr>
      <xdr:xfrm>
        <a:off x="57150" y="8905875"/>
        <a:ext cx="10944225" cy="3867150"/>
      </xdr:xfrm>
      <a:graphic>
        <a:graphicData uri="http://schemas.openxmlformats.org/drawingml/2006/chart">
          <c:chart xmlns:c="http://schemas.openxmlformats.org/drawingml/2006/chart" r:id="rId4"/>
        </a:graphicData>
      </a:graphic>
    </xdr:graphicFrame>
    <xdr:clientData/>
  </xdr:twoCellAnchor>
  <xdr:twoCellAnchor editAs="oneCell">
    <xdr:from>
      <xdr:col>11</xdr:col>
      <xdr:colOff>342900</xdr:colOff>
      <xdr:row>0</xdr:row>
      <xdr:rowOff>28575</xdr:rowOff>
    </xdr:from>
    <xdr:to>
      <xdr:col>14</xdr:col>
      <xdr:colOff>266700</xdr:colOff>
      <xdr:row>1</xdr:row>
      <xdr:rowOff>47625</xdr:rowOff>
    </xdr:to>
    <xdr:pic>
      <xdr:nvPicPr>
        <xdr:cNvPr id="7" name="Picture 9" descr="National Grid">
          <a:hlinkClick r:id="rId7"/>
        </xdr:cNvPr>
        <xdr:cNvPicPr preferRelativeResize="1">
          <a:picLocks noChangeAspect="0"/>
        </xdr:cNvPicPr>
      </xdr:nvPicPr>
      <xdr:blipFill>
        <a:blip r:embed="rId5"/>
        <a:stretch>
          <a:fillRect/>
        </a:stretch>
      </xdr:blipFill>
      <xdr:spPr>
        <a:xfrm>
          <a:off x="9315450" y="28575"/>
          <a:ext cx="1514475" cy="3238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0.68625</cdr:x>
      <cdr:y>0.25775</cdr:y>
    </cdr:from>
    <cdr:to>
      <cdr:x>0.8765</cdr:x>
      <cdr:y>0.39325</cdr:y>
    </cdr:to>
    <cdr:sp>
      <cdr:nvSpPr>
        <cdr:cNvPr id="1" name="TextBox 2"/>
        <cdr:cNvSpPr txBox="1">
          <a:spLocks noChangeArrowheads="1"/>
        </cdr:cNvSpPr>
      </cdr:nvSpPr>
      <cdr:spPr>
        <a:xfrm>
          <a:off x="3562350" y="762000"/>
          <a:ext cx="990600" cy="4000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000" b="1" i="0" u="none" baseline="0">
              <a:latin typeface="Arial"/>
              <a:ea typeface="Arial"/>
              <a:cs typeface="Arial"/>
            </a:rPr>
            <a:t>Target Cost £17.32m</a:t>
          </a:r>
        </a:p>
      </cdr:txBody>
    </cdr:sp>
  </cdr:relSizeAnchor>
  <cdr:relSizeAnchor xmlns:cdr="http://schemas.openxmlformats.org/drawingml/2006/chartDrawing">
    <cdr:from>
      <cdr:x>0.55425</cdr:x>
      <cdr:y>0.3925</cdr:y>
    </cdr:from>
    <cdr:to>
      <cdr:x>0.68625</cdr:x>
      <cdr:y>0.48875</cdr:y>
    </cdr:to>
    <cdr:sp>
      <cdr:nvSpPr>
        <cdr:cNvPr id="2" name="Line 3"/>
        <cdr:cNvSpPr>
          <a:spLocks/>
        </cdr:cNvSpPr>
      </cdr:nvSpPr>
      <cdr:spPr>
        <a:xfrm flipH="1">
          <a:off x="2876550" y="1162050"/>
          <a:ext cx="68580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grid.com/uk/Gas/soincentives/SupportingInfo/" TargetMode="External" /><Relationship Id="rId2" Type="http://schemas.openxmlformats.org/officeDocument/2006/relationships/hyperlink" Target="http://www.nationalgrid.com/uk/Gas/soincentives/docs/" TargetMode="External" /><Relationship Id="rId3" Type="http://schemas.openxmlformats.org/officeDocument/2006/relationships/hyperlink" Target="http://www.ofgem.gov.uk/Markets/WhlMkts/EffSystemOps/SystOpIncent/Documents1/NGG%20SO%20Incentives%20-%20April%202011%20-%20Final%20Proposals%20Consultation.pdf" TargetMode="External" /><Relationship Id="rId4" Type="http://schemas.openxmlformats.org/officeDocument/2006/relationships/hyperlink" Target="http://www.ofgem.gov.uk/Markets/WhlMkts/EffSystemOps/SystOpIncent/Documents1/SO%20incentives%20from%20April%202013%20Inital%20Views%20Consultation.pdf" TargetMode="External" /><Relationship Id="rId5" Type="http://schemas.openxmlformats.org/officeDocument/2006/relationships/hyperlink" Target="http://www.nationalgrid.com/NR/rdonlyres/07E7A1E2-7982-48FE-9A5D-F6ACB634F49D/47329/UAGIndustryUpdateJune2011.pdf"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showGridLines="0" tabSelected="1" workbookViewId="0" topLeftCell="A1">
      <selection activeCell="B2" sqref="B2"/>
    </sheetView>
  </sheetViews>
  <sheetFormatPr defaultColWidth="9.140625" defaultRowHeight="12.75"/>
  <cols>
    <col min="1" max="1" width="2.28125" style="16" customWidth="1"/>
    <col min="2" max="2" width="156.7109375" style="16" customWidth="1"/>
    <col min="3" max="16384" width="9.140625" style="16" customWidth="1"/>
  </cols>
  <sheetData>
    <row r="1" spans="1:3" ht="13.5" thickTop="1">
      <c r="A1" s="18"/>
      <c r="B1" s="616"/>
      <c r="C1" s="17"/>
    </row>
    <row r="2" spans="1:3" ht="12.75">
      <c r="A2" s="18"/>
      <c r="B2" s="617"/>
      <c r="C2" s="17"/>
    </row>
    <row r="3" spans="1:3" ht="12.75">
      <c r="A3" s="18"/>
      <c r="B3" s="632"/>
      <c r="C3" s="17"/>
    </row>
    <row r="4" spans="1:3" ht="20.25">
      <c r="A4" s="18"/>
      <c r="B4" s="633" t="s">
        <v>289</v>
      </c>
      <c r="C4" s="17"/>
    </row>
    <row r="5" spans="1:3" ht="12.75">
      <c r="A5" s="18"/>
      <c r="B5" s="617"/>
      <c r="C5" s="17"/>
    </row>
    <row r="6" spans="1:3" ht="15">
      <c r="A6" s="18"/>
      <c r="B6" s="618" t="s">
        <v>280</v>
      </c>
      <c r="C6" s="17"/>
    </row>
    <row r="7" spans="1:3" ht="12.75">
      <c r="A7" s="18"/>
      <c r="B7" s="619"/>
      <c r="C7" s="17"/>
    </row>
    <row r="8" spans="1:3" ht="12.75">
      <c r="A8" s="18"/>
      <c r="B8" s="619"/>
      <c r="C8" s="17"/>
    </row>
    <row r="9" spans="1:3" ht="15.75">
      <c r="A9" s="18"/>
      <c r="B9" s="620" t="s">
        <v>154</v>
      </c>
      <c r="C9" s="17"/>
    </row>
    <row r="10" spans="1:3" ht="14.25">
      <c r="A10" s="18"/>
      <c r="B10" s="621"/>
      <c r="C10" s="17"/>
    </row>
    <row r="11" spans="1:3" ht="15">
      <c r="A11" s="18"/>
      <c r="B11" s="622" t="s">
        <v>175</v>
      </c>
      <c r="C11" s="17"/>
    </row>
    <row r="12" spans="1:3" ht="14.25">
      <c r="A12" s="19"/>
      <c r="B12" s="623"/>
      <c r="C12" s="17"/>
    </row>
    <row r="13" spans="1:3" ht="28.5">
      <c r="A13" s="19"/>
      <c r="B13" s="624" t="s">
        <v>290</v>
      </c>
      <c r="C13" s="17"/>
    </row>
    <row r="14" spans="1:3" ht="14.25">
      <c r="A14" s="19"/>
      <c r="B14" s="624"/>
      <c r="C14" s="17"/>
    </row>
    <row r="15" spans="1:3" ht="14.25">
      <c r="A15" s="19"/>
      <c r="B15" s="623"/>
      <c r="C15" s="17"/>
    </row>
    <row r="16" spans="1:3" ht="15">
      <c r="A16" s="19"/>
      <c r="B16" s="625" t="s">
        <v>87</v>
      </c>
      <c r="C16" s="17"/>
    </row>
    <row r="17" spans="1:3" ht="14.25">
      <c r="A17" s="19"/>
      <c r="B17" s="623"/>
      <c r="C17" s="17"/>
    </row>
    <row r="18" spans="1:3" ht="71.25">
      <c r="A18" s="19"/>
      <c r="B18" s="624" t="s">
        <v>227</v>
      </c>
      <c r="C18" s="17"/>
    </row>
    <row r="19" spans="1:3" ht="14.25">
      <c r="A19" s="19"/>
      <c r="B19" s="623"/>
      <c r="C19" s="17"/>
    </row>
    <row r="20" spans="1:3" ht="15">
      <c r="A20" s="19"/>
      <c r="B20" s="625" t="s">
        <v>88</v>
      </c>
      <c r="C20" s="17"/>
    </row>
    <row r="21" spans="1:3" ht="14.25">
      <c r="A21" s="19"/>
      <c r="B21" s="623" t="s">
        <v>228</v>
      </c>
      <c r="C21" s="17"/>
    </row>
    <row r="22" spans="1:3" ht="14.25">
      <c r="A22" s="19"/>
      <c r="B22" s="623"/>
      <c r="C22" s="17"/>
    </row>
    <row r="23" spans="1:3" ht="14.25">
      <c r="A23" s="19"/>
      <c r="B23" s="623" t="s">
        <v>89</v>
      </c>
      <c r="C23" s="17"/>
    </row>
    <row r="24" spans="1:3" ht="14.25">
      <c r="A24" s="19"/>
      <c r="B24" s="623" t="s">
        <v>90</v>
      </c>
      <c r="C24" s="17"/>
    </row>
    <row r="25" spans="1:3" ht="14.25">
      <c r="A25" s="19"/>
      <c r="B25" s="623" t="s">
        <v>162</v>
      </c>
      <c r="C25" s="17"/>
    </row>
    <row r="26" spans="1:3" ht="14.25">
      <c r="A26" s="19"/>
      <c r="B26" s="623" t="s">
        <v>93</v>
      </c>
      <c r="C26" s="17"/>
    </row>
    <row r="27" spans="1:3" ht="14.25">
      <c r="A27" s="19"/>
      <c r="B27" s="623" t="s">
        <v>91</v>
      </c>
      <c r="C27" s="17"/>
    </row>
    <row r="28" spans="1:3" ht="14.25">
      <c r="A28" s="19"/>
      <c r="B28" s="623" t="s">
        <v>92</v>
      </c>
      <c r="C28" s="17"/>
    </row>
    <row r="29" spans="1:3" ht="14.25">
      <c r="A29" s="19"/>
      <c r="B29" s="623" t="s">
        <v>264</v>
      </c>
      <c r="C29" s="17"/>
    </row>
    <row r="30" spans="1:3" ht="14.25">
      <c r="A30" s="19"/>
      <c r="B30" s="623" t="s">
        <v>155</v>
      </c>
      <c r="C30" s="17"/>
    </row>
    <row r="31" spans="1:3" ht="14.25">
      <c r="A31" s="20"/>
      <c r="B31" s="626"/>
      <c r="C31" s="17"/>
    </row>
    <row r="32" spans="1:3" ht="14.25">
      <c r="A32" s="20"/>
      <c r="B32" s="626"/>
      <c r="C32" s="17"/>
    </row>
    <row r="33" spans="1:3" ht="15">
      <c r="A33" s="20"/>
      <c r="B33" s="627" t="s">
        <v>232</v>
      </c>
      <c r="C33" s="17"/>
    </row>
    <row r="34" spans="1:3" ht="14.25">
      <c r="A34" s="20"/>
      <c r="B34" s="626"/>
      <c r="C34" s="17"/>
    </row>
    <row r="35" spans="1:3" ht="28.5">
      <c r="A35" s="20"/>
      <c r="B35" s="626" t="s">
        <v>233</v>
      </c>
      <c r="C35" s="17"/>
    </row>
    <row r="36" spans="1:3" ht="14.25">
      <c r="A36" s="20"/>
      <c r="B36" s="626"/>
      <c r="C36" s="17"/>
    </row>
    <row r="37" spans="1:3" ht="15">
      <c r="A37" s="20"/>
      <c r="B37" s="627" t="s">
        <v>275</v>
      </c>
      <c r="C37" s="17"/>
    </row>
    <row r="38" spans="1:3" ht="12.75">
      <c r="A38" s="133"/>
      <c r="B38" s="619"/>
      <c r="C38" s="17"/>
    </row>
    <row r="39" spans="1:3" ht="28.5">
      <c r="A39" s="133"/>
      <c r="B39" s="623" t="s">
        <v>276</v>
      </c>
      <c r="C39" s="17"/>
    </row>
    <row r="40" spans="1:3" ht="12.75">
      <c r="A40" s="133"/>
      <c r="B40" s="617"/>
      <c r="C40" s="17"/>
    </row>
    <row r="41" spans="1:3" ht="15">
      <c r="A41" s="133"/>
      <c r="B41" s="628" t="s">
        <v>291</v>
      </c>
      <c r="C41" s="17"/>
    </row>
    <row r="42" spans="1:3" ht="12.75">
      <c r="A42" s="133"/>
      <c r="B42" s="617"/>
      <c r="C42" s="17"/>
    </row>
    <row r="43" spans="1:3" ht="14.25">
      <c r="A43" s="133"/>
      <c r="B43" s="629" t="s">
        <v>277</v>
      </c>
      <c r="C43" s="17"/>
    </row>
    <row r="44" spans="1:3" ht="14.25">
      <c r="A44" s="133"/>
      <c r="B44" s="629" t="s">
        <v>278</v>
      </c>
      <c r="C44" s="17"/>
    </row>
    <row r="45" spans="1:3" ht="14.25">
      <c r="A45" s="133"/>
      <c r="B45" s="629" t="s">
        <v>279</v>
      </c>
      <c r="C45" s="17"/>
    </row>
    <row r="46" spans="1:3" ht="12.75">
      <c r="A46" s="133"/>
      <c r="B46" s="630"/>
      <c r="C46" s="17"/>
    </row>
    <row r="47" spans="1:3" ht="13.5" thickBot="1">
      <c r="A47" s="133"/>
      <c r="B47" s="631"/>
      <c r="C47" s="17"/>
    </row>
    <row r="48" ht="13.5" thickTop="1"/>
  </sheetData>
  <hyperlinks>
    <hyperlink ref="B33" r:id="rId1" display="1.4 Further Information"/>
    <hyperlink ref="B37" r:id="rId2" display="1.5 Consultation Documents"/>
    <hyperlink ref="B43" r:id="rId3" display="Final Proposal Consultation for Incentives from April 2011"/>
    <hyperlink ref="B44" r:id="rId4" display="SO Incentive Schemes from 2013 - Ofgem Website"/>
    <hyperlink ref="B45" r:id="rId5" display="Unaccounted For Gas Industry Update - National Grid Website"/>
  </hyperlinks>
  <printOptions/>
  <pageMargins left="0.75" right="0.75" top="1" bottom="1" header="0.5" footer="0.5"/>
  <pageSetup fitToHeight="1" fitToWidth="1" horizontalDpi="600" verticalDpi="600" orientation="portrait" paperSize="8" scale="84" r:id="rId7"/>
  <headerFooter alignWithMargins="0">
    <oddFooter>&amp;CPage &amp;P of &amp;N</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B1:Q102"/>
  <sheetViews>
    <sheetView zoomScaleSheetLayoutView="100" workbookViewId="0" topLeftCell="A37">
      <selection activeCell="I51" sqref="I51"/>
    </sheetView>
  </sheetViews>
  <sheetFormatPr defaultColWidth="9.140625" defaultRowHeight="12.75"/>
  <cols>
    <col min="1" max="1" width="1.57421875" style="200" customWidth="1"/>
    <col min="2" max="2" width="17.421875" style="200" customWidth="1"/>
    <col min="3" max="3" width="20.28125" style="200" customWidth="1"/>
    <col min="4" max="4" width="22.00390625" style="200" customWidth="1"/>
    <col min="5" max="5" width="9.28125" style="200" customWidth="1"/>
    <col min="6" max="6" width="11.140625" style="200" bestFit="1" customWidth="1"/>
    <col min="7" max="7" width="14.140625" style="200" customWidth="1"/>
    <col min="8" max="8" width="16.28125" style="200" customWidth="1"/>
    <col min="9" max="9" width="60.8515625" style="200" customWidth="1"/>
    <col min="10" max="11" width="10.421875" style="200" customWidth="1"/>
    <col min="12" max="12" width="5.7109375" style="200" bestFit="1" customWidth="1"/>
    <col min="13" max="13" width="10.57421875" style="200" customWidth="1"/>
    <col min="14" max="14" width="10.421875" style="200" customWidth="1"/>
    <col min="15" max="16384" width="9.140625" style="200" customWidth="1"/>
  </cols>
  <sheetData>
    <row r="1" spans="2:9" ht="21.75" customHeight="1" thickTop="1">
      <c r="B1" s="296" t="s">
        <v>97</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154</v>
      </c>
      <c r="C4" s="212"/>
      <c r="D4" s="212"/>
      <c r="E4" s="212"/>
      <c r="F4" s="212"/>
      <c r="G4" s="212"/>
      <c r="H4" s="212"/>
      <c r="I4" s="246"/>
    </row>
    <row r="5" spans="2:9" ht="12" thickBot="1">
      <c r="B5" s="245"/>
      <c r="C5" s="212"/>
      <c r="D5" s="212"/>
      <c r="E5" s="212"/>
      <c r="F5" s="212"/>
      <c r="G5" s="212"/>
      <c r="H5" s="212"/>
      <c r="I5" s="246"/>
    </row>
    <row r="6" spans="2:9" s="268" customFormat="1" ht="77.25" customHeight="1">
      <c r="B6" s="510" t="s">
        <v>69</v>
      </c>
      <c r="C6" s="782" t="s">
        <v>194</v>
      </c>
      <c r="D6" s="782"/>
      <c r="E6" s="782"/>
      <c r="F6" s="782"/>
      <c r="G6" s="782"/>
      <c r="H6" s="782"/>
      <c r="I6" s="783"/>
    </row>
    <row r="7" spans="2:9" ht="11.25">
      <c r="B7" s="245"/>
      <c r="C7" s="300"/>
      <c r="D7" s="212"/>
      <c r="E7" s="212"/>
      <c r="F7" s="212"/>
      <c r="G7" s="212"/>
      <c r="H7" s="212"/>
      <c r="I7" s="246"/>
    </row>
    <row r="8" spans="2:9" ht="11.25">
      <c r="B8" s="245"/>
      <c r="C8" s="300"/>
      <c r="D8" s="212"/>
      <c r="E8" s="212"/>
      <c r="F8" s="212"/>
      <c r="G8" s="212"/>
      <c r="H8" s="212"/>
      <c r="I8" s="246"/>
    </row>
    <row r="9" spans="2:9" ht="15">
      <c r="B9" s="245"/>
      <c r="C9" s="300"/>
      <c r="D9" s="212"/>
      <c r="E9" s="212"/>
      <c r="F9" s="695" t="s">
        <v>159</v>
      </c>
      <c r="G9" s="696"/>
      <c r="H9" s="696"/>
      <c r="I9" s="697"/>
    </row>
    <row r="10" spans="2:9" ht="14.25">
      <c r="B10" s="245"/>
      <c r="C10" s="300"/>
      <c r="D10" s="212"/>
      <c r="E10" s="212"/>
      <c r="F10" s="489"/>
      <c r="G10" s="568"/>
      <c r="H10" s="568"/>
      <c r="I10" s="246"/>
    </row>
    <row r="11" spans="2:9" ht="11.25" customHeight="1">
      <c r="B11" s="245"/>
      <c r="C11" s="300"/>
      <c r="D11" s="212"/>
      <c r="E11" s="212"/>
      <c r="F11" s="645" t="s">
        <v>216</v>
      </c>
      <c r="G11" s="637"/>
      <c r="H11" s="637"/>
      <c r="I11" s="638"/>
    </row>
    <row r="12" spans="2:9" ht="14.25">
      <c r="B12" s="245"/>
      <c r="C12" s="300"/>
      <c r="D12" s="212"/>
      <c r="E12" s="212"/>
      <c r="F12" s="490"/>
      <c r="G12" s="514"/>
      <c r="H12" s="199"/>
      <c r="I12" s="246"/>
    </row>
    <row r="13" spans="2:9" ht="11.25" customHeight="1">
      <c r="B13" s="245"/>
      <c r="C13" s="300"/>
      <c r="D13" s="212"/>
      <c r="E13" s="212"/>
      <c r="F13" s="639" t="s">
        <v>196</v>
      </c>
      <c r="G13" s="640"/>
      <c r="H13" s="640"/>
      <c r="I13" s="641"/>
    </row>
    <row r="14" spans="2:9" ht="11.25" customHeight="1">
      <c r="B14" s="245"/>
      <c r="C14" s="300"/>
      <c r="D14" s="212"/>
      <c r="E14" s="212"/>
      <c r="F14" s="639"/>
      <c r="G14" s="640"/>
      <c r="H14" s="640"/>
      <c r="I14" s="641"/>
    </row>
    <row r="15" spans="2:9" ht="11.25" customHeight="1">
      <c r="B15" s="245"/>
      <c r="C15" s="300"/>
      <c r="D15" s="212"/>
      <c r="E15" s="212"/>
      <c r="F15" s="639"/>
      <c r="G15" s="640"/>
      <c r="H15" s="640"/>
      <c r="I15" s="641"/>
    </row>
    <row r="16" spans="2:9" ht="11.25" customHeight="1">
      <c r="B16" s="245"/>
      <c r="C16" s="300"/>
      <c r="D16" s="212"/>
      <c r="E16" s="212"/>
      <c r="F16" s="639"/>
      <c r="G16" s="640"/>
      <c r="H16" s="640"/>
      <c r="I16" s="641"/>
    </row>
    <row r="17" spans="2:9" ht="11.25" customHeight="1">
      <c r="B17" s="245"/>
      <c r="C17" s="300"/>
      <c r="D17" s="212"/>
      <c r="E17" s="212"/>
      <c r="F17" s="639"/>
      <c r="G17" s="640"/>
      <c r="H17" s="640"/>
      <c r="I17" s="641"/>
    </row>
    <row r="18" spans="2:9" ht="11.25" customHeight="1">
      <c r="B18" s="245"/>
      <c r="C18" s="300"/>
      <c r="D18" s="212"/>
      <c r="E18" s="212"/>
      <c r="F18" s="639"/>
      <c r="G18" s="640"/>
      <c r="H18" s="640"/>
      <c r="I18" s="641"/>
    </row>
    <row r="19" spans="2:9" ht="11.25" customHeight="1">
      <c r="B19" s="245"/>
      <c r="C19" s="300"/>
      <c r="D19" s="212"/>
      <c r="E19" s="212"/>
      <c r="F19" s="639"/>
      <c r="G19" s="640"/>
      <c r="H19" s="640"/>
      <c r="I19" s="641"/>
    </row>
    <row r="20" spans="2:9" ht="11.25" customHeight="1">
      <c r="B20" s="245"/>
      <c r="C20" s="300"/>
      <c r="D20" s="212"/>
      <c r="E20" s="212"/>
      <c r="F20" s="639"/>
      <c r="G20" s="640"/>
      <c r="H20" s="640"/>
      <c r="I20" s="641"/>
    </row>
    <row r="21" spans="2:9" ht="11.25" customHeight="1">
      <c r="B21" s="245"/>
      <c r="C21" s="300"/>
      <c r="D21" s="212"/>
      <c r="E21" s="212"/>
      <c r="F21" s="639"/>
      <c r="G21" s="640"/>
      <c r="H21" s="640"/>
      <c r="I21" s="641"/>
    </row>
    <row r="22" spans="2:9" ht="11.25" customHeight="1">
      <c r="B22" s="245"/>
      <c r="C22" s="300"/>
      <c r="D22" s="212"/>
      <c r="E22" s="212"/>
      <c r="F22" s="639"/>
      <c r="G22" s="640"/>
      <c r="H22" s="640"/>
      <c r="I22" s="641"/>
    </row>
    <row r="23" spans="2:9" ht="11.25" customHeight="1">
      <c r="B23" s="245"/>
      <c r="C23" s="300"/>
      <c r="D23" s="212"/>
      <c r="E23" s="212"/>
      <c r="F23" s="639"/>
      <c r="G23" s="640"/>
      <c r="H23" s="640"/>
      <c r="I23" s="641"/>
    </row>
    <row r="24" spans="2:9" ht="11.25" customHeight="1">
      <c r="B24" s="245"/>
      <c r="C24" s="300"/>
      <c r="D24" s="212"/>
      <c r="E24" s="212"/>
      <c r="F24" s="639"/>
      <c r="G24" s="640"/>
      <c r="H24" s="640"/>
      <c r="I24" s="641"/>
    </row>
    <row r="25" spans="2:9" ht="11.25">
      <c r="B25" s="245"/>
      <c r="C25" s="300"/>
      <c r="D25" s="212"/>
      <c r="E25" s="212"/>
      <c r="F25" s="213"/>
      <c r="G25" s="214"/>
      <c r="H25" s="214"/>
      <c r="I25" s="302"/>
    </row>
    <row r="26" spans="2:9" ht="11.25">
      <c r="B26" s="245"/>
      <c r="C26" s="300"/>
      <c r="D26" s="212"/>
      <c r="E26" s="212"/>
      <c r="F26" s="212"/>
      <c r="G26" s="212"/>
      <c r="H26" s="212"/>
      <c r="I26" s="246"/>
    </row>
    <row r="27" spans="2:9" ht="11.25">
      <c r="B27" s="245"/>
      <c r="C27" s="300"/>
      <c r="D27" s="212"/>
      <c r="E27" s="212"/>
      <c r="F27" s="212"/>
      <c r="G27" s="212"/>
      <c r="H27" s="212"/>
      <c r="I27" s="246"/>
    </row>
    <row r="28" spans="2:9" ht="15">
      <c r="B28" s="605" t="s">
        <v>152</v>
      </c>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f>('Unaccounted for Gas'!$E$33)</f>
        <v>0</v>
      </c>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 r="B50" s="245"/>
      <c r="C50" s="300"/>
      <c r="D50" s="212"/>
      <c r="E50" s="212"/>
      <c r="F50" s="212"/>
      <c r="G50" s="212"/>
      <c r="H50" s="212"/>
      <c r="I50" s="246"/>
    </row>
    <row r="51" spans="2:9" ht="11.25">
      <c r="B51" s="245"/>
      <c r="C51" s="300"/>
      <c r="D51" s="212"/>
      <c r="E51" s="212"/>
      <c r="F51" s="212"/>
      <c r="G51" s="212"/>
      <c r="H51" s="212"/>
      <c r="I51" s="246"/>
    </row>
    <row r="52" spans="2:9" ht="11.25">
      <c r="B52" s="686" t="s">
        <v>1</v>
      </c>
      <c r="C52" s="687"/>
      <c r="D52" s="687"/>
      <c r="E52" s="687"/>
      <c r="F52" s="687"/>
      <c r="G52" s="687"/>
      <c r="H52" s="687"/>
      <c r="I52" s="688"/>
    </row>
    <row r="53" spans="2:9" ht="11.25">
      <c r="B53" s="686"/>
      <c r="C53" s="687"/>
      <c r="D53" s="687"/>
      <c r="E53" s="687"/>
      <c r="F53" s="687"/>
      <c r="G53" s="687"/>
      <c r="H53" s="687"/>
      <c r="I53" s="688"/>
    </row>
    <row r="54" spans="2:9" ht="11.25">
      <c r="B54" s="686"/>
      <c r="C54" s="687"/>
      <c r="D54" s="687"/>
      <c r="E54" s="687"/>
      <c r="F54" s="687"/>
      <c r="G54" s="687"/>
      <c r="H54" s="687"/>
      <c r="I54" s="688"/>
    </row>
    <row r="55" spans="2:9" ht="11.25">
      <c r="B55" s="686"/>
      <c r="C55" s="687"/>
      <c r="D55" s="687"/>
      <c r="E55" s="687"/>
      <c r="F55" s="687"/>
      <c r="G55" s="687"/>
      <c r="H55" s="687"/>
      <c r="I55" s="688"/>
    </row>
    <row r="56" spans="2:9" ht="11.25">
      <c r="B56" s="686"/>
      <c r="C56" s="687"/>
      <c r="D56" s="687"/>
      <c r="E56" s="687"/>
      <c r="F56" s="687"/>
      <c r="G56" s="687"/>
      <c r="H56" s="687"/>
      <c r="I56" s="688"/>
    </row>
    <row r="57" spans="2:9" ht="11.25">
      <c r="B57" s="686"/>
      <c r="C57" s="687"/>
      <c r="D57" s="687"/>
      <c r="E57" s="687"/>
      <c r="F57" s="687"/>
      <c r="G57" s="687"/>
      <c r="H57" s="687"/>
      <c r="I57" s="688"/>
    </row>
    <row r="58" spans="2:9" ht="11.25">
      <c r="B58" s="686"/>
      <c r="C58" s="687"/>
      <c r="D58" s="687"/>
      <c r="E58" s="687"/>
      <c r="F58" s="687"/>
      <c r="G58" s="687"/>
      <c r="H58" s="687"/>
      <c r="I58" s="688"/>
    </row>
    <row r="59" spans="2:9" ht="11.25">
      <c r="B59" s="686"/>
      <c r="C59" s="687"/>
      <c r="D59" s="687"/>
      <c r="E59" s="687"/>
      <c r="F59" s="687"/>
      <c r="G59" s="687"/>
      <c r="H59" s="687"/>
      <c r="I59" s="688"/>
    </row>
    <row r="60" spans="2:9" ht="11.25">
      <c r="B60" s="245"/>
      <c r="C60" s="300"/>
      <c r="D60" s="212"/>
      <c r="E60" s="212"/>
      <c r="F60" s="212"/>
      <c r="G60" s="212"/>
      <c r="H60" s="212"/>
      <c r="I60" s="246"/>
    </row>
    <row r="61" spans="2:9" ht="15.75">
      <c r="B61" s="227" t="s">
        <v>153</v>
      </c>
      <c r="C61" s="300"/>
      <c r="D61" s="212"/>
      <c r="E61" s="212"/>
      <c r="F61" s="212"/>
      <c r="G61" s="212"/>
      <c r="H61" s="212"/>
      <c r="I61" s="246"/>
    </row>
    <row r="62" spans="2:9" ht="12" thickBot="1">
      <c r="B62" s="245"/>
      <c r="C62" s="212"/>
      <c r="D62" s="212"/>
      <c r="E62" s="212"/>
      <c r="F62" s="212"/>
      <c r="G62" s="212"/>
      <c r="H62" s="212"/>
      <c r="I62" s="246"/>
    </row>
    <row r="63" spans="2:17" ht="47.25" customHeight="1">
      <c r="B63" s="606" t="s">
        <v>40</v>
      </c>
      <c r="C63" s="588" t="s">
        <v>217</v>
      </c>
      <c r="D63" s="589" t="s">
        <v>195</v>
      </c>
      <c r="E63" s="590"/>
      <c r="F63" s="590"/>
      <c r="G63" s="590"/>
      <c r="H63" s="607"/>
      <c r="I63" s="584"/>
      <c r="J63" s="575"/>
      <c r="K63" s="576"/>
      <c r="M63" s="279"/>
      <c r="N63" s="279"/>
      <c r="O63" s="279"/>
      <c r="P63" s="279"/>
      <c r="Q63" s="279"/>
    </row>
    <row r="64" spans="2:17" s="595" customFormat="1" ht="12.75">
      <c r="B64" s="608">
        <v>40634</v>
      </c>
      <c r="C64" s="591">
        <v>534</v>
      </c>
      <c r="D64" s="592">
        <f>C64</f>
        <v>534</v>
      </c>
      <c r="E64" s="591"/>
      <c r="F64" s="591"/>
      <c r="G64" s="593"/>
      <c r="H64" s="609"/>
      <c r="I64" s="610"/>
      <c r="J64" s="594"/>
      <c r="K64" s="594"/>
      <c r="M64" s="596"/>
      <c r="N64" s="597"/>
      <c r="O64" s="597"/>
      <c r="P64" s="598"/>
      <c r="Q64" s="597"/>
    </row>
    <row r="65" spans="2:17" s="595" customFormat="1" ht="15.75">
      <c r="B65" s="608">
        <v>40664</v>
      </c>
      <c r="C65" s="594">
        <v>507</v>
      </c>
      <c r="D65" s="599">
        <f>D64+C65</f>
        <v>1041</v>
      </c>
      <c r="E65" s="594"/>
      <c r="F65" s="594"/>
      <c r="G65" s="600"/>
      <c r="H65" s="611"/>
      <c r="I65" s="584"/>
      <c r="J65" s="594"/>
      <c r="K65" s="594"/>
      <c r="M65" s="596"/>
      <c r="N65" s="597"/>
      <c r="O65" s="597"/>
      <c r="P65" s="598"/>
      <c r="Q65" s="597"/>
    </row>
    <row r="66" spans="2:17" s="595" customFormat="1" ht="12.75">
      <c r="B66" s="608">
        <v>40695</v>
      </c>
      <c r="C66" s="594">
        <v>425</v>
      </c>
      <c r="D66" s="599">
        <f>D65+C66</f>
        <v>1466</v>
      </c>
      <c r="E66" s="594"/>
      <c r="F66" s="594"/>
      <c r="G66" s="600"/>
      <c r="H66" s="609"/>
      <c r="I66" s="610"/>
      <c r="J66" s="594"/>
      <c r="K66" s="594"/>
      <c r="M66" s="596"/>
      <c r="N66" s="597"/>
      <c r="O66" s="597"/>
      <c r="P66" s="598"/>
      <c r="Q66" s="597"/>
    </row>
    <row r="67" spans="2:17" s="595" customFormat="1" ht="15.75">
      <c r="B67" s="608">
        <v>40725</v>
      </c>
      <c r="C67" s="594"/>
      <c r="D67" s="599">
        <f>IF(C67="","",D66+C67)</f>
      </c>
      <c r="E67" s="594"/>
      <c r="F67" s="594"/>
      <c r="G67" s="600"/>
      <c r="H67" s="609"/>
      <c r="I67" s="584"/>
      <c r="J67" s="594"/>
      <c r="K67" s="594"/>
      <c r="M67" s="596"/>
      <c r="N67" s="597"/>
      <c r="O67" s="597"/>
      <c r="P67" s="598"/>
      <c r="Q67" s="597"/>
    </row>
    <row r="68" spans="2:17" s="595" customFormat="1" ht="12.75">
      <c r="B68" s="608">
        <v>40756</v>
      </c>
      <c r="C68" s="594"/>
      <c r="D68" s="599">
        <f aca="true" t="shared" si="0" ref="D68:D75">IF(C68="","",D67+C68)</f>
      </c>
      <c r="E68" s="594"/>
      <c r="F68" s="594"/>
      <c r="G68" s="600"/>
      <c r="H68" s="609"/>
      <c r="I68" s="610"/>
      <c r="J68" s="594"/>
      <c r="K68" s="594"/>
      <c r="N68" s="597"/>
      <c r="O68" s="597"/>
      <c r="P68" s="598"/>
      <c r="Q68" s="597"/>
    </row>
    <row r="69" spans="2:16" s="595" customFormat="1" ht="15.75">
      <c r="B69" s="608">
        <v>40787</v>
      </c>
      <c r="C69" s="594"/>
      <c r="D69" s="599">
        <f t="shared" si="0"/>
      </c>
      <c r="E69" s="594"/>
      <c r="F69" s="600"/>
      <c r="G69" s="600"/>
      <c r="H69" s="601"/>
      <c r="I69" s="584"/>
      <c r="J69" s="594"/>
      <c r="L69" s="596"/>
      <c r="M69" s="597"/>
      <c r="N69" s="597"/>
      <c r="O69" s="598"/>
      <c r="P69" s="597"/>
    </row>
    <row r="70" spans="2:17" s="595" customFormat="1" ht="12.75">
      <c r="B70" s="608">
        <v>40817</v>
      </c>
      <c r="C70" s="594"/>
      <c r="D70" s="599">
        <f t="shared" si="0"/>
      </c>
      <c r="E70" s="594"/>
      <c r="F70" s="594"/>
      <c r="G70" s="600"/>
      <c r="H70" s="600"/>
      <c r="I70" s="612"/>
      <c r="J70" s="594"/>
      <c r="K70" s="594"/>
      <c r="M70" s="596"/>
      <c r="N70" s="597"/>
      <c r="O70" s="597"/>
      <c r="P70" s="598"/>
      <c r="Q70" s="597"/>
    </row>
    <row r="71" spans="2:16" s="595" customFormat="1" ht="12.75">
      <c r="B71" s="608">
        <v>40848</v>
      </c>
      <c r="C71" s="594"/>
      <c r="D71" s="599">
        <f t="shared" si="0"/>
      </c>
      <c r="E71" s="594"/>
      <c r="F71" s="600"/>
      <c r="G71" s="600"/>
      <c r="H71" s="601"/>
      <c r="I71" s="613"/>
      <c r="J71" s="594"/>
      <c r="L71" s="596"/>
      <c r="M71" s="597"/>
      <c r="N71" s="597"/>
      <c r="O71" s="598"/>
      <c r="P71" s="597"/>
    </row>
    <row r="72" spans="2:17" s="595" customFormat="1" ht="12.75">
      <c r="B72" s="608">
        <v>40878</v>
      </c>
      <c r="C72" s="594"/>
      <c r="D72" s="599">
        <f t="shared" si="0"/>
      </c>
      <c r="E72" s="594"/>
      <c r="F72" s="600"/>
      <c r="G72" s="600"/>
      <c r="H72" s="600"/>
      <c r="I72" s="612"/>
      <c r="J72" s="594"/>
      <c r="K72" s="594"/>
      <c r="M72" s="596"/>
      <c r="N72" s="597"/>
      <c r="O72" s="597"/>
      <c r="P72" s="598"/>
      <c r="Q72" s="597"/>
    </row>
    <row r="73" spans="2:17" s="595" customFormat="1" ht="12.75">
      <c r="B73" s="608">
        <v>40909</v>
      </c>
      <c r="C73" s="594"/>
      <c r="D73" s="599">
        <f t="shared" si="0"/>
      </c>
      <c r="E73" s="594"/>
      <c r="F73" s="594"/>
      <c r="G73" s="600"/>
      <c r="H73" s="600"/>
      <c r="I73" s="612"/>
      <c r="J73" s="594"/>
      <c r="K73" s="594"/>
      <c r="M73" s="596"/>
      <c r="N73" s="597"/>
      <c r="O73" s="597"/>
      <c r="P73" s="598"/>
      <c r="Q73" s="597"/>
    </row>
    <row r="74" spans="2:17" s="595" customFormat="1" ht="12.75">
      <c r="B74" s="608">
        <v>40940</v>
      </c>
      <c r="C74" s="594"/>
      <c r="D74" s="599">
        <f t="shared" si="0"/>
      </c>
      <c r="E74" s="594"/>
      <c r="F74" s="594"/>
      <c r="G74" s="600"/>
      <c r="H74" s="600"/>
      <c r="I74" s="612"/>
      <c r="J74" s="594"/>
      <c r="K74" s="594"/>
      <c r="M74" s="596"/>
      <c r="N74" s="597"/>
      <c r="O74" s="597"/>
      <c r="P74" s="598"/>
      <c r="Q74" s="597"/>
    </row>
    <row r="75" spans="2:17" s="595" customFormat="1" ht="13.5" thickBot="1">
      <c r="B75" s="608">
        <v>40969</v>
      </c>
      <c r="C75" s="594"/>
      <c r="D75" s="599">
        <f t="shared" si="0"/>
      </c>
      <c r="E75" s="594"/>
      <c r="F75" s="594"/>
      <c r="G75" s="600"/>
      <c r="H75" s="600"/>
      <c r="I75" s="612"/>
      <c r="J75" s="594"/>
      <c r="K75" s="594"/>
      <c r="M75" s="596"/>
      <c r="N75" s="597"/>
      <c r="O75" s="597"/>
      <c r="P75" s="598"/>
      <c r="Q75" s="597"/>
    </row>
    <row r="76" spans="2:17" ht="13.5" thickBot="1">
      <c r="B76" s="614" t="s">
        <v>83</v>
      </c>
      <c r="C76" s="602">
        <f>SUM(C64:C75)</f>
        <v>1466</v>
      </c>
      <c r="D76" s="603"/>
      <c r="E76" s="328"/>
      <c r="F76" s="328"/>
      <c r="G76" s="604"/>
      <c r="H76" s="604"/>
      <c r="I76" s="615"/>
      <c r="J76" s="328"/>
      <c r="K76" s="328"/>
      <c r="M76" s="270"/>
      <c r="N76" s="286"/>
      <c r="O76" s="286"/>
      <c r="P76" s="212"/>
      <c r="Q76" s="286"/>
    </row>
    <row r="77" spans="2:17" ht="11.25">
      <c r="B77" s="245"/>
      <c r="C77" s="212"/>
      <c r="D77" s="212"/>
      <c r="E77" s="212"/>
      <c r="F77" s="212"/>
      <c r="G77" s="212"/>
      <c r="H77" s="212"/>
      <c r="I77" s="246"/>
      <c r="J77" s="293"/>
      <c r="K77" s="293"/>
      <c r="L77" s="293"/>
      <c r="M77" s="293"/>
      <c r="N77" s="293"/>
      <c r="O77" s="293"/>
      <c r="P77" s="293"/>
      <c r="Q77" s="293"/>
    </row>
    <row r="78" spans="2:13" ht="11.25">
      <c r="B78" s="245"/>
      <c r="C78" s="212"/>
      <c r="D78" s="212"/>
      <c r="E78" s="212"/>
      <c r="F78" s="212"/>
      <c r="G78" s="212"/>
      <c r="H78" s="212"/>
      <c r="I78" s="246"/>
      <c r="M78" s="295"/>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1.25">
      <c r="B97" s="245"/>
      <c r="C97" s="212"/>
      <c r="D97" s="212"/>
      <c r="E97" s="212"/>
      <c r="F97" s="212"/>
      <c r="G97" s="212"/>
      <c r="H97" s="212"/>
      <c r="I97" s="246"/>
    </row>
    <row r="98" spans="2:9" ht="11.25">
      <c r="B98" s="245"/>
      <c r="C98" s="212"/>
      <c r="D98" s="212"/>
      <c r="E98" s="212"/>
      <c r="F98" s="212"/>
      <c r="G98" s="212"/>
      <c r="H98" s="212"/>
      <c r="I98" s="246"/>
    </row>
    <row r="99" spans="2:9" ht="11.25">
      <c r="B99" s="245"/>
      <c r="C99" s="212"/>
      <c r="D99" s="212"/>
      <c r="E99" s="212"/>
      <c r="F99" s="212"/>
      <c r="G99" s="212"/>
      <c r="H99" s="212"/>
      <c r="I99" s="246"/>
    </row>
    <row r="100" spans="2:9" ht="11.25">
      <c r="B100" s="245"/>
      <c r="C100" s="212"/>
      <c r="D100" s="212"/>
      <c r="E100" s="212"/>
      <c r="F100" s="212"/>
      <c r="G100" s="212"/>
      <c r="H100" s="212"/>
      <c r="I100" s="246"/>
    </row>
    <row r="101" spans="2:9" ht="11.25">
      <c r="B101" s="245"/>
      <c r="C101" s="212"/>
      <c r="D101" s="212"/>
      <c r="E101" s="212"/>
      <c r="F101" s="212"/>
      <c r="G101" s="212"/>
      <c r="H101" s="212"/>
      <c r="I101" s="246"/>
    </row>
    <row r="102" spans="2:9" ht="12" thickBot="1">
      <c r="B102" s="247"/>
      <c r="C102" s="248"/>
      <c r="D102" s="248"/>
      <c r="E102" s="248"/>
      <c r="F102" s="248"/>
      <c r="G102" s="248"/>
      <c r="H102" s="248"/>
      <c r="I102" s="249"/>
    </row>
    <row r="103" ht="12" thickTop="1"/>
  </sheetData>
  <sheetProtection/>
  <mergeCells count="5">
    <mergeCell ref="B52:I59"/>
    <mergeCell ref="F13:I24"/>
    <mergeCell ref="C6:I6"/>
    <mergeCell ref="F9:I9"/>
    <mergeCell ref="F11:I11"/>
  </mergeCells>
  <printOptions/>
  <pageMargins left="0.75" right="0.75" top="1" bottom="1" header="0.5" footer="0.5"/>
  <pageSetup fitToHeight="1" fitToWidth="1" horizontalDpi="600" verticalDpi="600" orientation="portrait" paperSize="8" scale="77" r:id="rId2"/>
  <headerFooter alignWithMargins="0">
    <oddFooter>&amp;CPage &amp;P of &amp;N</oddFooter>
  </headerFooter>
  <rowBreaks count="1" manualBreakCount="1">
    <brk id="59"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IV164"/>
  <sheetViews>
    <sheetView workbookViewId="0" topLeftCell="C149">
      <selection activeCell="G152" sqref="G152"/>
    </sheetView>
  </sheetViews>
  <sheetFormatPr defaultColWidth="9.140625" defaultRowHeight="12.75"/>
  <cols>
    <col min="2" max="2" width="17.421875" style="0" customWidth="1"/>
    <col min="3" max="3" width="32.57421875" style="0" customWidth="1"/>
    <col min="4" max="6" width="10.140625" style="0" bestFit="1" customWidth="1"/>
    <col min="7" max="7" width="19.421875" style="0" bestFit="1" customWidth="1"/>
    <col min="8" max="9" width="10.140625" style="0" bestFit="1" customWidth="1"/>
    <col min="10" max="10" width="10.57421875" style="0" customWidth="1"/>
    <col min="11" max="11" width="19.421875" style="0" bestFit="1" customWidth="1"/>
    <col min="12" max="15" width="10.140625" style="0" bestFit="1" customWidth="1"/>
  </cols>
  <sheetData>
    <row r="1" ht="12.75">
      <c r="B1" s="21" t="s">
        <v>120</v>
      </c>
    </row>
    <row r="2" ht="12.75">
      <c r="B2" t="s">
        <v>121</v>
      </c>
    </row>
    <row r="5" spans="1:15" ht="12.75">
      <c r="A5">
        <v>1</v>
      </c>
      <c r="B5" t="s">
        <v>145</v>
      </c>
      <c r="G5" t="s">
        <v>122</v>
      </c>
      <c r="J5" s="37"/>
      <c r="K5" s="38"/>
      <c r="L5" s="39"/>
      <c r="M5" s="2"/>
      <c r="N5" s="40"/>
      <c r="O5" s="40"/>
    </row>
    <row r="6" spans="4:13" ht="12.75">
      <c r="D6" t="s">
        <v>128</v>
      </c>
      <c r="E6" t="s">
        <v>129</v>
      </c>
      <c r="G6" s="44">
        <v>-80</v>
      </c>
      <c r="H6" s="44">
        <f>E7</f>
        <v>16.71029</v>
      </c>
      <c r="J6" s="37"/>
      <c r="K6" s="39"/>
      <c r="L6" s="38"/>
      <c r="M6" s="2"/>
    </row>
    <row r="7" spans="3:13" ht="12.75">
      <c r="C7" t="s">
        <v>123</v>
      </c>
      <c r="D7" s="41">
        <f>(D8-(2*E7))</f>
        <v>-16.71058</v>
      </c>
      <c r="E7" s="41">
        <v>16.71029</v>
      </c>
      <c r="F7" s="43"/>
      <c r="G7" s="44">
        <f aca="true" t="shared" si="0" ref="G7:H9">D7</f>
        <v>-16.71058</v>
      </c>
      <c r="H7" s="44">
        <f t="shared" si="0"/>
        <v>16.71029</v>
      </c>
      <c r="J7" s="37"/>
      <c r="M7" s="2"/>
    </row>
    <row r="8" spans="3:13" ht="12.75">
      <c r="C8" t="s">
        <v>124</v>
      </c>
      <c r="D8" s="41">
        <v>16.71</v>
      </c>
      <c r="E8" s="42">
        <v>0</v>
      </c>
      <c r="F8" s="43"/>
      <c r="G8" s="44">
        <f t="shared" si="0"/>
        <v>16.71</v>
      </c>
      <c r="H8" s="44">
        <f t="shared" si="0"/>
        <v>0</v>
      </c>
      <c r="J8" s="37"/>
      <c r="M8" s="2"/>
    </row>
    <row r="9" spans="3:13" ht="12.75">
      <c r="C9" t="s">
        <v>125</v>
      </c>
      <c r="D9" s="41">
        <f>(D8-(2*E9))</f>
        <v>41.466</v>
      </c>
      <c r="E9" s="41">
        <v>-12.378</v>
      </c>
      <c r="F9" s="43"/>
      <c r="G9" s="44">
        <f t="shared" si="0"/>
        <v>41.466</v>
      </c>
      <c r="H9" s="44">
        <f t="shared" si="0"/>
        <v>-12.378</v>
      </c>
      <c r="J9" s="37"/>
      <c r="M9" s="2"/>
    </row>
    <row r="10" spans="4:13" ht="12.75">
      <c r="D10" s="43"/>
      <c r="E10" s="43"/>
      <c r="F10" s="43"/>
      <c r="G10" s="44">
        <v>80</v>
      </c>
      <c r="H10" s="44">
        <f>E9</f>
        <v>-12.378</v>
      </c>
      <c r="J10" s="37"/>
      <c r="K10" s="37"/>
      <c r="L10" s="37"/>
      <c r="M10" s="2"/>
    </row>
    <row r="13" spans="1:7" ht="12.75">
      <c r="A13">
        <v>2</v>
      </c>
      <c r="B13" t="s">
        <v>138</v>
      </c>
      <c r="D13" t="s">
        <v>85</v>
      </c>
      <c r="E13">
        <v>0.03</v>
      </c>
      <c r="G13" t="s">
        <v>122</v>
      </c>
    </row>
    <row r="14" spans="4:10" ht="12.75">
      <c r="D14" t="s">
        <v>158</v>
      </c>
      <c r="E14" t="s">
        <v>129</v>
      </c>
      <c r="G14">
        <v>-40</v>
      </c>
      <c r="H14">
        <f>E15</f>
        <v>-1.6</v>
      </c>
      <c r="J14">
        <f>(1-G14/100)*0.03</f>
        <v>0.041999999999999996</v>
      </c>
    </row>
    <row r="15" spans="3:10" ht="12.75">
      <c r="C15" t="s">
        <v>125</v>
      </c>
      <c r="D15">
        <v>-5</v>
      </c>
      <c r="E15">
        <v>-1.6</v>
      </c>
      <c r="G15">
        <f aca="true" t="shared" si="1" ref="G15:H17">D15</f>
        <v>-5</v>
      </c>
      <c r="H15">
        <f t="shared" si="1"/>
        <v>-1.6</v>
      </c>
      <c r="J15">
        <v>0.03</v>
      </c>
    </row>
    <row r="16" spans="3:10" ht="12.75">
      <c r="C16" t="s">
        <v>124</v>
      </c>
      <c r="D16">
        <v>5</v>
      </c>
      <c r="E16">
        <v>1.6</v>
      </c>
      <c r="G16">
        <f t="shared" si="1"/>
        <v>5</v>
      </c>
      <c r="H16">
        <f t="shared" si="1"/>
        <v>1.6</v>
      </c>
      <c r="J16">
        <v>0.027</v>
      </c>
    </row>
    <row r="17" spans="3:10" ht="12.75">
      <c r="C17" t="s">
        <v>123</v>
      </c>
      <c r="D17">
        <v>100</v>
      </c>
      <c r="E17">
        <v>8.27</v>
      </c>
      <c r="G17">
        <f t="shared" si="1"/>
        <v>100</v>
      </c>
      <c r="H17">
        <f t="shared" si="1"/>
        <v>8.27</v>
      </c>
      <c r="J17">
        <f>(1-G17/100)*0.03</f>
        <v>0</v>
      </c>
    </row>
    <row r="18" spans="7:10" ht="12.75">
      <c r="G18">
        <v>105</v>
      </c>
      <c r="H18">
        <f>E17</f>
        <v>8.27</v>
      </c>
      <c r="J18">
        <f>(1-G18/100)*0.03</f>
        <v>-0.0015000000000000013</v>
      </c>
    </row>
    <row r="20" spans="3:6" ht="22.5">
      <c r="C20" s="13" t="s">
        <v>258</v>
      </c>
      <c r="D20" s="87" t="s">
        <v>259</v>
      </c>
      <c r="E20" s="1" t="s">
        <v>189</v>
      </c>
      <c r="F20" s="87" t="s">
        <v>188</v>
      </c>
    </row>
    <row r="21" spans="2:6" ht="12.75">
      <c r="B21" s="49">
        <v>40634</v>
      </c>
      <c r="C21" s="45">
        <v>0.0275</v>
      </c>
      <c r="D21" s="87">
        <v>0.025</v>
      </c>
      <c r="E21" s="88">
        <v>0.0025</v>
      </c>
      <c r="F21" s="88">
        <v>0.0025</v>
      </c>
    </row>
    <row r="22" spans="2:6" ht="12.75">
      <c r="B22" s="49">
        <v>40664</v>
      </c>
      <c r="C22" s="45">
        <v>0.0275</v>
      </c>
      <c r="D22" s="87">
        <v>0.025</v>
      </c>
      <c r="E22" s="88">
        <v>0.0025</v>
      </c>
      <c r="F22" s="88">
        <v>0.0025</v>
      </c>
    </row>
    <row r="23" spans="2:6" ht="12.75">
      <c r="B23" s="49">
        <v>40695</v>
      </c>
      <c r="C23" s="45">
        <v>0.0275</v>
      </c>
      <c r="D23" s="87">
        <v>0.025</v>
      </c>
      <c r="E23" s="88">
        <v>0.0025</v>
      </c>
      <c r="F23" s="88">
        <v>0.0025</v>
      </c>
    </row>
    <row r="24" spans="2:6" ht="12.75">
      <c r="B24" s="49">
        <v>40725</v>
      </c>
      <c r="C24" s="45">
        <v>0.0275</v>
      </c>
      <c r="D24" s="87">
        <v>0.025</v>
      </c>
      <c r="E24" s="88">
        <v>0.0025</v>
      </c>
      <c r="F24" s="88">
        <v>0.0025</v>
      </c>
    </row>
    <row r="25" spans="2:6" ht="12.75">
      <c r="B25" s="49">
        <v>40756</v>
      </c>
      <c r="C25" s="45">
        <v>0.0275</v>
      </c>
      <c r="D25" s="87">
        <v>0.025</v>
      </c>
      <c r="E25" s="88">
        <v>0.0025</v>
      </c>
      <c r="F25" s="88">
        <v>0.0025</v>
      </c>
    </row>
    <row r="26" spans="2:6" ht="12.75">
      <c r="B26" s="49">
        <v>40787</v>
      </c>
      <c r="C26" s="45">
        <v>0.0275</v>
      </c>
      <c r="D26" s="87">
        <v>0.025</v>
      </c>
      <c r="E26" s="88">
        <v>0.0025</v>
      </c>
      <c r="F26" s="88">
        <v>0.0025</v>
      </c>
    </row>
    <row r="27" spans="2:6" ht="12.75">
      <c r="B27" s="49">
        <v>40817</v>
      </c>
      <c r="C27" s="45">
        <v>0.0275</v>
      </c>
      <c r="D27" s="87">
        <v>0.025</v>
      </c>
      <c r="E27" s="88">
        <v>0.0025</v>
      </c>
      <c r="F27" s="88">
        <v>0.0025</v>
      </c>
    </row>
    <row r="28" spans="2:6" ht="12.75">
      <c r="B28" s="49">
        <v>40848</v>
      </c>
      <c r="C28" s="45">
        <v>0.0275</v>
      </c>
      <c r="D28" s="87">
        <v>0.025</v>
      </c>
      <c r="E28" s="88">
        <v>0.0025</v>
      </c>
      <c r="F28" s="88">
        <v>0.0025</v>
      </c>
    </row>
    <row r="29" spans="2:6" ht="12.75">
      <c r="B29" s="49">
        <v>40878</v>
      </c>
      <c r="C29" s="45">
        <v>0.0275</v>
      </c>
      <c r="D29" s="87">
        <v>0.025</v>
      </c>
      <c r="E29" s="88">
        <v>0.0025</v>
      </c>
      <c r="F29" s="88">
        <v>0.0025</v>
      </c>
    </row>
    <row r="30" spans="2:6" ht="12.75">
      <c r="B30" s="49">
        <v>40909</v>
      </c>
      <c r="C30" s="45">
        <v>0.0275</v>
      </c>
      <c r="D30" s="87">
        <v>0.025</v>
      </c>
      <c r="E30" s="88">
        <v>0.0025</v>
      </c>
      <c r="F30" s="88">
        <v>0.0025</v>
      </c>
    </row>
    <row r="31" spans="2:6" ht="12.75">
      <c r="B31" s="49">
        <v>40940</v>
      </c>
      <c r="C31" s="45">
        <v>0.0275</v>
      </c>
      <c r="D31" s="87">
        <v>0.025</v>
      </c>
      <c r="E31" s="88">
        <v>0.0025</v>
      </c>
      <c r="F31" s="88">
        <v>0.0025</v>
      </c>
    </row>
    <row r="32" spans="2:6" ht="12.75">
      <c r="B32" s="49">
        <v>40969</v>
      </c>
      <c r="C32" s="45">
        <v>0.0275</v>
      </c>
      <c r="D32" s="87">
        <v>0.025</v>
      </c>
      <c r="E32" s="88">
        <v>0.0025</v>
      </c>
      <c r="F32" s="88">
        <v>0.0025</v>
      </c>
    </row>
    <row r="36" spans="1:15" s="30" customFormat="1" ht="12.75">
      <c r="A36" s="30">
        <v>3</v>
      </c>
      <c r="B36" s="30" t="s">
        <v>146</v>
      </c>
      <c r="D36" s="31"/>
      <c r="E36" s="31"/>
      <c r="F36" s="32"/>
      <c r="G36" s="32"/>
      <c r="H36" s="32"/>
      <c r="I36" s="31"/>
      <c r="J36" s="33"/>
      <c r="K36" s="32"/>
      <c r="L36" s="31"/>
      <c r="M36" s="33"/>
      <c r="N36" s="32"/>
      <c r="O36" s="31"/>
    </row>
    <row r="37" spans="3:5" s="30" customFormat="1" ht="12.75">
      <c r="C37" t="s">
        <v>123</v>
      </c>
      <c r="D37" s="34">
        <v>1</v>
      </c>
      <c r="E37" s="35">
        <v>100</v>
      </c>
    </row>
    <row r="38" spans="3:5" s="30" customFormat="1" ht="12.75">
      <c r="C38" t="s">
        <v>140</v>
      </c>
      <c r="D38" s="34">
        <v>0</v>
      </c>
      <c r="E38" s="30">
        <v>75</v>
      </c>
    </row>
    <row r="39" spans="3:5" ht="12.75">
      <c r="C39" t="s">
        <v>139</v>
      </c>
      <c r="D39" s="34">
        <v>0</v>
      </c>
      <c r="E39">
        <v>0</v>
      </c>
    </row>
    <row r="40" spans="3:5" ht="12.75">
      <c r="C40" t="s">
        <v>147</v>
      </c>
      <c r="D40" s="34">
        <v>-0.27</v>
      </c>
      <c r="E40">
        <v>-75</v>
      </c>
    </row>
    <row r="41" spans="3:5" ht="12.75">
      <c r="C41" t="s">
        <v>125</v>
      </c>
      <c r="D41" s="34">
        <v>-1</v>
      </c>
      <c r="E41">
        <v>-100</v>
      </c>
    </row>
    <row r="42" ht="13.5" thickBot="1"/>
    <row r="43" spans="1:256" ht="13.5" thickBot="1">
      <c r="A43" s="1"/>
      <c r="B43" s="1"/>
      <c r="C43" s="4" t="s">
        <v>47</v>
      </c>
      <c r="D43" s="5">
        <v>40634</v>
      </c>
      <c r="E43" s="5">
        <v>40664</v>
      </c>
      <c r="F43" s="5">
        <v>40695</v>
      </c>
      <c r="G43" s="5">
        <v>40725</v>
      </c>
      <c r="H43" s="5">
        <v>40756</v>
      </c>
      <c r="I43" s="5">
        <v>40787</v>
      </c>
      <c r="J43" s="5">
        <v>40817</v>
      </c>
      <c r="K43" s="5">
        <v>40848</v>
      </c>
      <c r="L43" s="5">
        <v>40878</v>
      </c>
      <c r="M43" s="5">
        <v>40909</v>
      </c>
      <c r="N43" s="5">
        <v>40940</v>
      </c>
      <c r="O43" s="5">
        <v>40969</v>
      </c>
      <c r="P43" s="8" t="s">
        <v>45</v>
      </c>
      <c r="Q43" s="1"/>
      <c r="R43" s="1"/>
      <c r="S43" s="4" t="s">
        <v>47</v>
      </c>
      <c r="T43" s="5">
        <v>40634</v>
      </c>
      <c r="U43" s="5">
        <v>40664</v>
      </c>
      <c r="V43" s="5">
        <v>40695</v>
      </c>
      <c r="W43" s="5">
        <v>40725</v>
      </c>
      <c r="X43" s="5">
        <v>40756</v>
      </c>
      <c r="Y43" s="5">
        <v>40787</v>
      </c>
      <c r="Z43" s="5">
        <v>40817</v>
      </c>
      <c r="AA43" s="5">
        <v>40848</v>
      </c>
      <c r="AB43" s="5">
        <v>40878</v>
      </c>
      <c r="AC43" s="5">
        <v>40909</v>
      </c>
      <c r="AD43" s="5">
        <v>40940</v>
      </c>
      <c r="AE43" s="5">
        <v>40969</v>
      </c>
      <c r="AF43" s="8" t="s">
        <v>45</v>
      </c>
      <c r="AG43" s="1"/>
      <c r="AH43" s="1"/>
      <c r="AI43" s="4" t="s">
        <v>47</v>
      </c>
      <c r="AJ43" s="5">
        <v>39904</v>
      </c>
      <c r="AK43" s="6">
        <v>39934</v>
      </c>
      <c r="AL43" s="6">
        <v>39965</v>
      </c>
      <c r="AM43" s="6">
        <v>39995</v>
      </c>
      <c r="AN43" s="6">
        <v>40026</v>
      </c>
      <c r="AO43" s="6">
        <v>40057</v>
      </c>
      <c r="AP43" s="6">
        <v>40087</v>
      </c>
      <c r="AQ43" s="6">
        <v>40118</v>
      </c>
      <c r="AR43" s="6">
        <v>40148</v>
      </c>
      <c r="AS43" s="6">
        <v>40179</v>
      </c>
      <c r="AT43" s="6">
        <v>40210</v>
      </c>
      <c r="AU43" s="7">
        <v>40238</v>
      </c>
      <c r="AV43" s="8" t="s">
        <v>45</v>
      </c>
      <c r="AW43" s="1"/>
      <c r="AX43" s="1"/>
      <c r="AY43" s="4" t="s">
        <v>47</v>
      </c>
      <c r="AZ43" s="5">
        <v>39904</v>
      </c>
      <c r="BA43" s="6">
        <v>39934</v>
      </c>
      <c r="BB43" s="6">
        <v>39965</v>
      </c>
      <c r="BC43" s="6">
        <v>39995</v>
      </c>
      <c r="BD43" s="6">
        <v>40026</v>
      </c>
      <c r="BE43" s="6">
        <v>40057</v>
      </c>
      <c r="BF43" s="6">
        <v>40087</v>
      </c>
      <c r="BG43" s="6">
        <v>40118</v>
      </c>
      <c r="BH43" s="6">
        <v>40148</v>
      </c>
      <c r="BI43" s="6">
        <v>40179</v>
      </c>
      <c r="BJ43" s="6">
        <v>40210</v>
      </c>
      <c r="BK43" s="7">
        <v>40238</v>
      </c>
      <c r="BL43" s="8" t="s">
        <v>45</v>
      </c>
      <c r="BM43" s="1"/>
      <c r="BN43" s="1"/>
      <c r="BO43" s="4" t="s">
        <v>47</v>
      </c>
      <c r="BP43" s="5">
        <v>39904</v>
      </c>
      <c r="BQ43" s="6">
        <v>39934</v>
      </c>
      <c r="BR43" s="6">
        <v>39965</v>
      </c>
      <c r="BS43" s="6">
        <v>39995</v>
      </c>
      <c r="BT43" s="6">
        <v>40026</v>
      </c>
      <c r="BU43" s="6">
        <v>40057</v>
      </c>
      <c r="BV43" s="6">
        <v>40087</v>
      </c>
      <c r="BW43" s="6">
        <v>40118</v>
      </c>
      <c r="BX43" s="6">
        <v>40148</v>
      </c>
      <c r="BY43" s="6">
        <v>40179</v>
      </c>
      <c r="BZ43" s="6">
        <v>40210</v>
      </c>
      <c r="CA43" s="7">
        <v>40238</v>
      </c>
      <c r="CB43" s="8" t="s">
        <v>45</v>
      </c>
      <c r="CC43" s="1"/>
      <c r="CD43" s="1"/>
      <c r="CE43" s="4" t="s">
        <v>47</v>
      </c>
      <c r="CF43" s="5">
        <v>39904</v>
      </c>
      <c r="CG43" s="6">
        <v>39934</v>
      </c>
      <c r="CH43" s="6">
        <v>39965</v>
      </c>
      <c r="CI43" s="6">
        <v>39995</v>
      </c>
      <c r="CJ43" s="6">
        <v>40026</v>
      </c>
      <c r="CK43" s="6">
        <v>40057</v>
      </c>
      <c r="CL43" s="6">
        <v>40087</v>
      </c>
      <c r="CM43" s="6">
        <v>40118</v>
      </c>
      <c r="CN43" s="6">
        <v>40148</v>
      </c>
      <c r="CO43" s="6">
        <v>40179</v>
      </c>
      <c r="CP43" s="6">
        <v>40210</v>
      </c>
      <c r="CQ43" s="7">
        <v>40238</v>
      </c>
      <c r="CR43" s="8" t="s">
        <v>45</v>
      </c>
      <c r="CS43" s="1"/>
      <c r="CT43" s="1"/>
      <c r="CU43" s="4" t="s">
        <v>47</v>
      </c>
      <c r="CV43" s="5">
        <v>39904</v>
      </c>
      <c r="CW43" s="6">
        <v>39934</v>
      </c>
      <c r="CX43" s="6">
        <v>39965</v>
      </c>
      <c r="CY43" s="6">
        <v>39995</v>
      </c>
      <c r="CZ43" s="6">
        <v>40026</v>
      </c>
      <c r="DA43" s="6">
        <v>40057</v>
      </c>
      <c r="DB43" s="6">
        <v>40087</v>
      </c>
      <c r="DC43" s="6">
        <v>40118</v>
      </c>
      <c r="DD43" s="6">
        <v>40148</v>
      </c>
      <c r="DE43" s="6">
        <v>40179</v>
      </c>
      <c r="DF43" s="6">
        <v>40210</v>
      </c>
      <c r="DG43" s="7">
        <v>40238</v>
      </c>
      <c r="DH43" s="8" t="s">
        <v>45</v>
      </c>
      <c r="DI43" s="1"/>
      <c r="DJ43" s="1"/>
      <c r="DK43" s="4" t="s">
        <v>47</v>
      </c>
      <c r="DL43" s="5">
        <v>39904</v>
      </c>
      <c r="DM43" s="6">
        <v>39934</v>
      </c>
      <c r="DN43" s="6">
        <v>39965</v>
      </c>
      <c r="DO43" s="6">
        <v>39995</v>
      </c>
      <c r="DP43" s="6">
        <v>40026</v>
      </c>
      <c r="DQ43" s="6">
        <v>40057</v>
      </c>
      <c r="DR43" s="6">
        <v>40087</v>
      </c>
      <c r="DS43" s="6">
        <v>40118</v>
      </c>
      <c r="DT43" s="6">
        <v>40148</v>
      </c>
      <c r="DU43" s="6">
        <v>40179</v>
      </c>
      <c r="DV43" s="6">
        <v>40210</v>
      </c>
      <c r="DW43" s="7">
        <v>40238</v>
      </c>
      <c r="DX43" s="8" t="s">
        <v>45</v>
      </c>
      <c r="DY43" s="1"/>
      <c r="DZ43" s="1"/>
      <c r="EA43" s="4" t="s">
        <v>47</v>
      </c>
      <c r="EB43" s="5">
        <v>39904</v>
      </c>
      <c r="EC43" s="6">
        <v>39934</v>
      </c>
      <c r="ED43" s="6">
        <v>39965</v>
      </c>
      <c r="EE43" s="6">
        <v>39995</v>
      </c>
      <c r="EF43" s="6">
        <v>40026</v>
      </c>
      <c r="EG43" s="6">
        <v>40057</v>
      </c>
      <c r="EH43" s="6">
        <v>40087</v>
      </c>
      <c r="EI43" s="6">
        <v>40118</v>
      </c>
      <c r="EJ43" s="6">
        <v>40148</v>
      </c>
      <c r="EK43" s="6">
        <v>40179</v>
      </c>
      <c r="EL43" s="6">
        <v>40210</v>
      </c>
      <c r="EM43" s="7">
        <v>40238</v>
      </c>
      <c r="EN43" s="8" t="s">
        <v>45</v>
      </c>
      <c r="EO43" s="1"/>
      <c r="EP43" s="1"/>
      <c r="EQ43" s="4" t="s">
        <v>47</v>
      </c>
      <c r="ER43" s="5">
        <v>39904</v>
      </c>
      <c r="ES43" s="6">
        <v>39934</v>
      </c>
      <c r="ET43" s="6">
        <v>39965</v>
      </c>
      <c r="EU43" s="6">
        <v>39995</v>
      </c>
      <c r="EV43" s="6">
        <v>40026</v>
      </c>
      <c r="EW43" s="6">
        <v>40057</v>
      </c>
      <c r="EX43" s="6">
        <v>40087</v>
      </c>
      <c r="EY43" s="6">
        <v>40118</v>
      </c>
      <c r="EZ43" s="6">
        <v>40148</v>
      </c>
      <c r="FA43" s="6">
        <v>40179</v>
      </c>
      <c r="FB43" s="6">
        <v>40210</v>
      </c>
      <c r="FC43" s="7">
        <v>40238</v>
      </c>
      <c r="FD43" s="8" t="s">
        <v>45</v>
      </c>
      <c r="FE43" s="1"/>
      <c r="FF43" s="1"/>
      <c r="FG43" s="4" t="s">
        <v>47</v>
      </c>
      <c r="FH43" s="5">
        <v>39904</v>
      </c>
      <c r="FI43" s="6">
        <v>39934</v>
      </c>
      <c r="FJ43" s="6">
        <v>39965</v>
      </c>
      <c r="FK43" s="6">
        <v>39995</v>
      </c>
      <c r="FL43" s="6">
        <v>40026</v>
      </c>
      <c r="FM43" s="6">
        <v>40057</v>
      </c>
      <c r="FN43" s="6">
        <v>40087</v>
      </c>
      <c r="FO43" s="6">
        <v>40118</v>
      </c>
      <c r="FP43" s="6">
        <v>40148</v>
      </c>
      <c r="FQ43" s="6">
        <v>40179</v>
      </c>
      <c r="FR43" s="6">
        <v>40210</v>
      </c>
      <c r="FS43" s="7">
        <v>40238</v>
      </c>
      <c r="FT43" s="8" t="s">
        <v>45</v>
      </c>
      <c r="FU43" s="1"/>
      <c r="FV43" s="1"/>
      <c r="FW43" s="4" t="s">
        <v>47</v>
      </c>
      <c r="FX43" s="5">
        <v>39904</v>
      </c>
      <c r="FY43" s="6">
        <v>39934</v>
      </c>
      <c r="FZ43" s="6">
        <v>39965</v>
      </c>
      <c r="GA43" s="6">
        <v>39995</v>
      </c>
      <c r="GB43" s="6">
        <v>40026</v>
      </c>
      <c r="GC43" s="6">
        <v>40057</v>
      </c>
      <c r="GD43" s="6">
        <v>40087</v>
      </c>
      <c r="GE43" s="6">
        <v>40118</v>
      </c>
      <c r="GF43" s="6">
        <v>40148</v>
      </c>
      <c r="GG43" s="6">
        <v>40179</v>
      </c>
      <c r="GH43" s="6">
        <v>40210</v>
      </c>
      <c r="GI43" s="7">
        <v>40238</v>
      </c>
      <c r="GJ43" s="8" t="s">
        <v>45</v>
      </c>
      <c r="GK43" s="1"/>
      <c r="GL43" s="1"/>
      <c r="GM43" s="4" t="s">
        <v>47</v>
      </c>
      <c r="GN43" s="5">
        <v>39904</v>
      </c>
      <c r="GO43" s="6">
        <v>39934</v>
      </c>
      <c r="GP43" s="6">
        <v>39965</v>
      </c>
      <c r="GQ43" s="6">
        <v>39995</v>
      </c>
      <c r="GR43" s="6">
        <v>40026</v>
      </c>
      <c r="GS43" s="6">
        <v>40057</v>
      </c>
      <c r="GT43" s="6">
        <v>40087</v>
      </c>
      <c r="GU43" s="6">
        <v>40118</v>
      </c>
      <c r="GV43" s="6">
        <v>40148</v>
      </c>
      <c r="GW43" s="6">
        <v>40179</v>
      </c>
      <c r="GX43" s="6">
        <v>40210</v>
      </c>
      <c r="GY43" s="7">
        <v>40238</v>
      </c>
      <c r="GZ43" s="8" t="s">
        <v>45</v>
      </c>
      <c r="HA43" s="1"/>
      <c r="HB43" s="1"/>
      <c r="HC43" s="4" t="s">
        <v>47</v>
      </c>
      <c r="HD43" s="5">
        <v>39904</v>
      </c>
      <c r="HE43" s="6">
        <v>39934</v>
      </c>
      <c r="HF43" s="6">
        <v>39965</v>
      </c>
      <c r="HG43" s="6">
        <v>39995</v>
      </c>
      <c r="HH43" s="6">
        <v>40026</v>
      </c>
      <c r="HI43" s="6">
        <v>40057</v>
      </c>
      <c r="HJ43" s="6">
        <v>40087</v>
      </c>
      <c r="HK43" s="6">
        <v>40118</v>
      </c>
      <c r="HL43" s="6">
        <v>40148</v>
      </c>
      <c r="HM43" s="6">
        <v>40179</v>
      </c>
      <c r="HN43" s="6">
        <v>40210</v>
      </c>
      <c r="HO43" s="7">
        <v>40238</v>
      </c>
      <c r="HP43" s="8" t="s">
        <v>45</v>
      </c>
      <c r="HQ43" s="1"/>
      <c r="HR43" s="1"/>
      <c r="HS43" s="4" t="s">
        <v>47</v>
      </c>
      <c r="HT43" s="5">
        <v>39904</v>
      </c>
      <c r="HU43" s="6">
        <v>39934</v>
      </c>
      <c r="HV43" s="6">
        <v>39965</v>
      </c>
      <c r="HW43" s="6">
        <v>39995</v>
      </c>
      <c r="HX43" s="6">
        <v>40026</v>
      </c>
      <c r="HY43" s="6">
        <v>40057</v>
      </c>
      <c r="HZ43" s="6">
        <v>40087</v>
      </c>
      <c r="IA43" s="6">
        <v>40118</v>
      </c>
      <c r="IB43" s="6">
        <v>40148</v>
      </c>
      <c r="IC43" s="6">
        <v>40179</v>
      </c>
      <c r="ID43" s="6">
        <v>40210</v>
      </c>
      <c r="IE43" s="7">
        <v>40238</v>
      </c>
      <c r="IF43" s="8" t="s">
        <v>45</v>
      </c>
      <c r="IG43" s="1"/>
      <c r="IH43" s="1"/>
      <c r="II43" s="4" t="s">
        <v>47</v>
      </c>
      <c r="IJ43" s="5">
        <v>39904</v>
      </c>
      <c r="IK43" s="6">
        <v>39934</v>
      </c>
      <c r="IL43" s="6">
        <v>39965</v>
      </c>
      <c r="IM43" s="6">
        <v>39995</v>
      </c>
      <c r="IN43" s="6">
        <v>40026</v>
      </c>
      <c r="IO43" s="6">
        <v>40057</v>
      </c>
      <c r="IP43" s="6">
        <v>40087</v>
      </c>
      <c r="IQ43" s="6">
        <v>40118</v>
      </c>
      <c r="IR43" s="6">
        <v>40148</v>
      </c>
      <c r="IS43" s="6">
        <v>40179</v>
      </c>
      <c r="IT43" s="6">
        <v>40210</v>
      </c>
      <c r="IU43" s="7">
        <v>40238</v>
      </c>
      <c r="IV43" s="8" t="s">
        <v>45</v>
      </c>
    </row>
    <row r="44" spans="1:256" ht="13.5" customHeight="1">
      <c r="A44" s="1"/>
      <c r="B44" s="784" t="s">
        <v>173</v>
      </c>
      <c r="C44" s="9" t="s">
        <v>181</v>
      </c>
      <c r="D44" s="60">
        <v>371</v>
      </c>
      <c r="E44" s="61">
        <v>383</v>
      </c>
      <c r="F44" s="61">
        <v>371</v>
      </c>
      <c r="G44" s="61">
        <v>383</v>
      </c>
      <c r="H44" s="61">
        <v>383</v>
      </c>
      <c r="I44" s="61">
        <v>371</v>
      </c>
      <c r="J44" s="61">
        <v>383</v>
      </c>
      <c r="K44" s="61">
        <v>371</v>
      </c>
      <c r="L44" s="61">
        <v>383</v>
      </c>
      <c r="M44" s="61">
        <v>383</v>
      </c>
      <c r="N44" s="61">
        <v>346</v>
      </c>
      <c r="O44" s="62">
        <v>383</v>
      </c>
      <c r="P44" s="53"/>
      <c r="Q44" s="1"/>
      <c r="R44" s="785"/>
      <c r="S44" s="9" t="s">
        <v>168</v>
      </c>
      <c r="T44" s="60">
        <v>673</v>
      </c>
      <c r="U44" s="61">
        <v>695</v>
      </c>
      <c r="V44" s="61">
        <v>673</v>
      </c>
      <c r="W44" s="61">
        <v>695</v>
      </c>
      <c r="X44" s="61">
        <v>695</v>
      </c>
      <c r="Y44" s="61">
        <v>673</v>
      </c>
      <c r="Z44" s="61">
        <v>695</v>
      </c>
      <c r="AA44" s="61">
        <v>673</v>
      </c>
      <c r="AB44" s="61">
        <v>695</v>
      </c>
      <c r="AC44" s="61">
        <v>695</v>
      </c>
      <c r="AD44" s="61">
        <v>628</v>
      </c>
      <c r="AE44" s="62">
        <v>695</v>
      </c>
      <c r="AF44" s="53"/>
      <c r="AG44" s="1"/>
      <c r="AH44" s="785"/>
      <c r="AI44" s="9" t="s">
        <v>168</v>
      </c>
      <c r="AJ44" s="60">
        <v>673</v>
      </c>
      <c r="AK44" s="61">
        <v>695</v>
      </c>
      <c r="AL44" s="61">
        <v>673</v>
      </c>
      <c r="AM44" s="61">
        <v>695</v>
      </c>
      <c r="AN44" s="61">
        <v>695</v>
      </c>
      <c r="AO44" s="61">
        <v>673</v>
      </c>
      <c r="AP44" s="61">
        <v>695</v>
      </c>
      <c r="AQ44" s="61">
        <v>673</v>
      </c>
      <c r="AR44" s="61">
        <v>695</v>
      </c>
      <c r="AS44" s="61">
        <v>695</v>
      </c>
      <c r="AT44" s="61">
        <v>628</v>
      </c>
      <c r="AU44" s="62">
        <v>695</v>
      </c>
      <c r="AV44" s="53"/>
      <c r="AW44" s="1"/>
      <c r="AX44" s="785"/>
      <c r="AY44" s="9" t="s">
        <v>168</v>
      </c>
      <c r="AZ44" s="60">
        <v>673</v>
      </c>
      <c r="BA44" s="61">
        <v>695</v>
      </c>
      <c r="BB44" s="61">
        <v>673</v>
      </c>
      <c r="BC44" s="61">
        <v>695</v>
      </c>
      <c r="BD44" s="61">
        <v>695</v>
      </c>
      <c r="BE44" s="61">
        <v>673</v>
      </c>
      <c r="BF44" s="61">
        <v>695</v>
      </c>
      <c r="BG44" s="61">
        <v>673</v>
      </c>
      <c r="BH44" s="61">
        <v>695</v>
      </c>
      <c r="BI44" s="61">
        <v>695</v>
      </c>
      <c r="BJ44" s="61">
        <v>628</v>
      </c>
      <c r="BK44" s="62">
        <v>695</v>
      </c>
      <c r="BL44" s="53"/>
      <c r="BM44" s="1"/>
      <c r="BN44" s="785"/>
      <c r="BO44" s="9" t="s">
        <v>168</v>
      </c>
      <c r="BP44" s="60">
        <v>673</v>
      </c>
      <c r="BQ44" s="61">
        <v>695</v>
      </c>
      <c r="BR44" s="61">
        <v>673</v>
      </c>
      <c r="BS44" s="61">
        <v>695</v>
      </c>
      <c r="BT44" s="61">
        <v>695</v>
      </c>
      <c r="BU44" s="61">
        <v>673</v>
      </c>
      <c r="BV44" s="61">
        <v>695</v>
      </c>
      <c r="BW44" s="61">
        <v>673</v>
      </c>
      <c r="BX44" s="61">
        <v>695</v>
      </c>
      <c r="BY44" s="61">
        <v>695</v>
      </c>
      <c r="BZ44" s="61">
        <v>628</v>
      </c>
      <c r="CA44" s="62">
        <v>695</v>
      </c>
      <c r="CB44" s="53"/>
      <c r="CC44" s="1"/>
      <c r="CD44" s="785"/>
      <c r="CE44" s="9" t="s">
        <v>168</v>
      </c>
      <c r="CF44" s="60">
        <v>673</v>
      </c>
      <c r="CG44" s="61">
        <v>695</v>
      </c>
      <c r="CH44" s="61">
        <v>673</v>
      </c>
      <c r="CI44" s="61">
        <v>695</v>
      </c>
      <c r="CJ44" s="61">
        <v>695</v>
      </c>
      <c r="CK44" s="61">
        <v>673</v>
      </c>
      <c r="CL44" s="61">
        <v>695</v>
      </c>
      <c r="CM44" s="61">
        <v>673</v>
      </c>
      <c r="CN44" s="61">
        <v>695</v>
      </c>
      <c r="CO44" s="61">
        <v>695</v>
      </c>
      <c r="CP44" s="61">
        <v>628</v>
      </c>
      <c r="CQ44" s="62">
        <v>695</v>
      </c>
      <c r="CR44" s="53"/>
      <c r="CS44" s="1"/>
      <c r="CT44" s="785"/>
      <c r="CU44" s="9" t="s">
        <v>168</v>
      </c>
      <c r="CV44" s="60">
        <v>673</v>
      </c>
      <c r="CW44" s="61">
        <v>695</v>
      </c>
      <c r="CX44" s="61">
        <v>673</v>
      </c>
      <c r="CY44" s="61">
        <v>695</v>
      </c>
      <c r="CZ44" s="61">
        <v>695</v>
      </c>
      <c r="DA44" s="61">
        <v>673</v>
      </c>
      <c r="DB44" s="61">
        <v>695</v>
      </c>
      <c r="DC44" s="61">
        <v>673</v>
      </c>
      <c r="DD44" s="61">
        <v>695</v>
      </c>
      <c r="DE44" s="61">
        <v>695</v>
      </c>
      <c r="DF44" s="61">
        <v>628</v>
      </c>
      <c r="DG44" s="62">
        <v>695</v>
      </c>
      <c r="DH44" s="53"/>
      <c r="DI44" s="1"/>
      <c r="DJ44" s="785"/>
      <c r="DK44" s="9" t="s">
        <v>168</v>
      </c>
      <c r="DL44" s="60">
        <v>673</v>
      </c>
      <c r="DM44" s="61">
        <v>695</v>
      </c>
      <c r="DN44" s="61">
        <v>673</v>
      </c>
      <c r="DO44" s="61">
        <v>695</v>
      </c>
      <c r="DP44" s="61">
        <v>695</v>
      </c>
      <c r="DQ44" s="61">
        <v>673</v>
      </c>
      <c r="DR44" s="61">
        <v>695</v>
      </c>
      <c r="DS44" s="61">
        <v>673</v>
      </c>
      <c r="DT44" s="61">
        <v>695</v>
      </c>
      <c r="DU44" s="61">
        <v>695</v>
      </c>
      <c r="DV44" s="61">
        <v>628</v>
      </c>
      <c r="DW44" s="62">
        <v>695</v>
      </c>
      <c r="DX44" s="53"/>
      <c r="DY44" s="1"/>
      <c r="DZ44" s="785"/>
      <c r="EA44" s="9" t="s">
        <v>168</v>
      </c>
      <c r="EB44" s="60">
        <v>673</v>
      </c>
      <c r="EC44" s="61">
        <v>695</v>
      </c>
      <c r="ED44" s="61">
        <v>673</v>
      </c>
      <c r="EE44" s="61">
        <v>695</v>
      </c>
      <c r="EF44" s="61">
        <v>695</v>
      </c>
      <c r="EG44" s="61">
        <v>673</v>
      </c>
      <c r="EH44" s="61">
        <v>695</v>
      </c>
      <c r="EI44" s="61">
        <v>673</v>
      </c>
      <c r="EJ44" s="61">
        <v>695</v>
      </c>
      <c r="EK44" s="61">
        <v>695</v>
      </c>
      <c r="EL44" s="61">
        <v>628</v>
      </c>
      <c r="EM44" s="62">
        <v>695</v>
      </c>
      <c r="EN44" s="53"/>
      <c r="EO44" s="1"/>
      <c r="EP44" s="785"/>
      <c r="EQ44" s="9" t="s">
        <v>168</v>
      </c>
      <c r="ER44" s="60">
        <v>673</v>
      </c>
      <c r="ES44" s="61">
        <v>695</v>
      </c>
      <c r="ET44" s="61">
        <v>673</v>
      </c>
      <c r="EU44" s="61">
        <v>695</v>
      </c>
      <c r="EV44" s="61">
        <v>695</v>
      </c>
      <c r="EW44" s="61">
        <v>673</v>
      </c>
      <c r="EX44" s="61">
        <v>695</v>
      </c>
      <c r="EY44" s="61">
        <v>673</v>
      </c>
      <c r="EZ44" s="61">
        <v>695</v>
      </c>
      <c r="FA44" s="61">
        <v>695</v>
      </c>
      <c r="FB44" s="61">
        <v>628</v>
      </c>
      <c r="FC44" s="62">
        <v>695</v>
      </c>
      <c r="FD44" s="53"/>
      <c r="FE44" s="1"/>
      <c r="FF44" s="785"/>
      <c r="FG44" s="9" t="s">
        <v>168</v>
      </c>
      <c r="FH44" s="60">
        <v>673</v>
      </c>
      <c r="FI44" s="61">
        <v>695</v>
      </c>
      <c r="FJ44" s="61">
        <v>673</v>
      </c>
      <c r="FK44" s="61">
        <v>695</v>
      </c>
      <c r="FL44" s="61">
        <v>695</v>
      </c>
      <c r="FM44" s="61">
        <v>673</v>
      </c>
      <c r="FN44" s="61">
        <v>695</v>
      </c>
      <c r="FO44" s="61">
        <v>673</v>
      </c>
      <c r="FP44" s="61">
        <v>695</v>
      </c>
      <c r="FQ44" s="61">
        <v>695</v>
      </c>
      <c r="FR44" s="61">
        <v>628</v>
      </c>
      <c r="FS44" s="62">
        <v>695</v>
      </c>
      <c r="FT44" s="53"/>
      <c r="FU44" s="1"/>
      <c r="FV44" s="785"/>
      <c r="FW44" s="9" t="s">
        <v>168</v>
      </c>
      <c r="FX44" s="60">
        <v>673</v>
      </c>
      <c r="FY44" s="61">
        <v>695</v>
      </c>
      <c r="FZ44" s="61">
        <v>673</v>
      </c>
      <c r="GA44" s="61">
        <v>695</v>
      </c>
      <c r="GB44" s="61">
        <v>695</v>
      </c>
      <c r="GC44" s="61">
        <v>673</v>
      </c>
      <c r="GD44" s="61">
        <v>695</v>
      </c>
      <c r="GE44" s="61">
        <v>673</v>
      </c>
      <c r="GF44" s="61">
        <v>695</v>
      </c>
      <c r="GG44" s="61">
        <v>695</v>
      </c>
      <c r="GH44" s="61">
        <v>628</v>
      </c>
      <c r="GI44" s="62">
        <v>695</v>
      </c>
      <c r="GJ44" s="53"/>
      <c r="GK44" s="1"/>
      <c r="GL44" s="785"/>
      <c r="GM44" s="9" t="s">
        <v>168</v>
      </c>
      <c r="GN44" s="60">
        <v>673</v>
      </c>
      <c r="GO44" s="61">
        <v>695</v>
      </c>
      <c r="GP44" s="61">
        <v>673</v>
      </c>
      <c r="GQ44" s="61">
        <v>695</v>
      </c>
      <c r="GR44" s="61">
        <v>695</v>
      </c>
      <c r="GS44" s="61">
        <v>673</v>
      </c>
      <c r="GT44" s="61">
        <v>695</v>
      </c>
      <c r="GU44" s="61">
        <v>673</v>
      </c>
      <c r="GV44" s="61">
        <v>695</v>
      </c>
      <c r="GW44" s="61">
        <v>695</v>
      </c>
      <c r="GX44" s="61">
        <v>628</v>
      </c>
      <c r="GY44" s="62">
        <v>695</v>
      </c>
      <c r="GZ44" s="53"/>
      <c r="HA44" s="1"/>
      <c r="HB44" s="785"/>
      <c r="HC44" s="9" t="s">
        <v>168</v>
      </c>
      <c r="HD44" s="60">
        <v>673</v>
      </c>
      <c r="HE44" s="61">
        <v>695</v>
      </c>
      <c r="HF44" s="61">
        <v>673</v>
      </c>
      <c r="HG44" s="61">
        <v>695</v>
      </c>
      <c r="HH44" s="61">
        <v>695</v>
      </c>
      <c r="HI44" s="61">
        <v>673</v>
      </c>
      <c r="HJ44" s="61">
        <v>695</v>
      </c>
      <c r="HK44" s="61">
        <v>673</v>
      </c>
      <c r="HL44" s="61">
        <v>695</v>
      </c>
      <c r="HM44" s="61">
        <v>695</v>
      </c>
      <c r="HN44" s="61">
        <v>628</v>
      </c>
      <c r="HO44" s="62">
        <v>695</v>
      </c>
      <c r="HP44" s="53"/>
      <c r="HQ44" s="1"/>
      <c r="HR44" s="785"/>
      <c r="HS44" s="9" t="s">
        <v>168</v>
      </c>
      <c r="HT44" s="60">
        <v>673</v>
      </c>
      <c r="HU44" s="61">
        <v>695</v>
      </c>
      <c r="HV44" s="61">
        <v>673</v>
      </c>
      <c r="HW44" s="61">
        <v>695</v>
      </c>
      <c r="HX44" s="61">
        <v>695</v>
      </c>
      <c r="HY44" s="61">
        <v>673</v>
      </c>
      <c r="HZ44" s="61">
        <v>695</v>
      </c>
      <c r="IA44" s="61">
        <v>673</v>
      </c>
      <c r="IB44" s="61">
        <v>695</v>
      </c>
      <c r="IC44" s="61">
        <v>695</v>
      </c>
      <c r="ID44" s="61">
        <v>628</v>
      </c>
      <c r="IE44" s="62">
        <v>695</v>
      </c>
      <c r="IF44" s="53"/>
      <c r="IG44" s="1"/>
      <c r="IH44" s="785"/>
      <c r="II44" s="9" t="s">
        <v>168</v>
      </c>
      <c r="IJ44" s="60">
        <v>673</v>
      </c>
      <c r="IK44" s="61">
        <v>695</v>
      </c>
      <c r="IL44" s="61">
        <v>673</v>
      </c>
      <c r="IM44" s="61">
        <v>695</v>
      </c>
      <c r="IN44" s="61">
        <v>695</v>
      </c>
      <c r="IO44" s="61">
        <v>673</v>
      </c>
      <c r="IP44" s="61">
        <v>695</v>
      </c>
      <c r="IQ44" s="61">
        <v>673</v>
      </c>
      <c r="IR44" s="61">
        <v>695</v>
      </c>
      <c r="IS44" s="61">
        <v>695</v>
      </c>
      <c r="IT44" s="61">
        <v>628</v>
      </c>
      <c r="IU44" s="62">
        <v>695</v>
      </c>
      <c r="IV44" s="53"/>
    </row>
    <row r="45" spans="1:256" ht="13.5" customHeight="1">
      <c r="A45" s="1"/>
      <c r="B45" s="785"/>
      <c r="C45" s="84" t="s">
        <v>183</v>
      </c>
      <c r="D45" s="76">
        <v>29</v>
      </c>
      <c r="E45" s="77">
        <v>30</v>
      </c>
      <c r="F45" s="77">
        <v>29</v>
      </c>
      <c r="G45" s="77">
        <v>30</v>
      </c>
      <c r="H45" s="77">
        <v>30</v>
      </c>
      <c r="I45" s="77">
        <v>29</v>
      </c>
      <c r="J45" s="77">
        <v>30</v>
      </c>
      <c r="K45" s="77">
        <v>29</v>
      </c>
      <c r="L45" s="77">
        <v>30</v>
      </c>
      <c r="M45" s="77">
        <v>30</v>
      </c>
      <c r="N45" s="77">
        <v>27</v>
      </c>
      <c r="O45" s="78">
        <v>30</v>
      </c>
      <c r="P45" s="79"/>
      <c r="Q45" s="1"/>
      <c r="R45" s="785"/>
      <c r="S45" s="50"/>
      <c r="T45" s="60"/>
      <c r="U45" s="61"/>
      <c r="V45" s="61"/>
      <c r="W45" s="61"/>
      <c r="X45" s="61"/>
      <c r="Y45" s="61"/>
      <c r="Z45" s="61"/>
      <c r="AA45" s="61"/>
      <c r="AB45" s="61"/>
      <c r="AC45" s="61"/>
      <c r="AD45" s="61"/>
      <c r="AE45" s="62"/>
      <c r="AF45" s="79"/>
      <c r="AG45" s="1"/>
      <c r="AH45" s="785"/>
      <c r="AI45" s="50"/>
      <c r="AJ45" s="60"/>
      <c r="AK45" s="61"/>
      <c r="AL45" s="61"/>
      <c r="AM45" s="61"/>
      <c r="AN45" s="61"/>
      <c r="AO45" s="61"/>
      <c r="AP45" s="61"/>
      <c r="AQ45" s="61"/>
      <c r="AR45" s="61"/>
      <c r="AS45" s="61"/>
      <c r="AT45" s="61"/>
      <c r="AU45" s="62"/>
      <c r="AV45" s="79"/>
      <c r="AW45" s="1"/>
      <c r="AX45" s="785"/>
      <c r="AY45" s="50"/>
      <c r="AZ45" s="60"/>
      <c r="BA45" s="61"/>
      <c r="BB45" s="61"/>
      <c r="BC45" s="61"/>
      <c r="BD45" s="61"/>
      <c r="BE45" s="61"/>
      <c r="BF45" s="61"/>
      <c r="BG45" s="61"/>
      <c r="BH45" s="61"/>
      <c r="BI45" s="61"/>
      <c r="BJ45" s="61"/>
      <c r="BK45" s="62"/>
      <c r="BL45" s="79"/>
      <c r="BM45" s="1"/>
      <c r="BN45" s="785"/>
      <c r="BO45" s="50"/>
      <c r="BP45" s="60"/>
      <c r="BQ45" s="61"/>
      <c r="BR45" s="61"/>
      <c r="BS45" s="61"/>
      <c r="BT45" s="61"/>
      <c r="BU45" s="61"/>
      <c r="BV45" s="61"/>
      <c r="BW45" s="61"/>
      <c r="BX45" s="61"/>
      <c r="BY45" s="61"/>
      <c r="BZ45" s="61"/>
      <c r="CA45" s="62"/>
      <c r="CB45" s="79"/>
      <c r="CC45" s="1"/>
      <c r="CD45" s="785"/>
      <c r="CE45" s="50"/>
      <c r="CF45" s="60"/>
      <c r="CG45" s="61"/>
      <c r="CH45" s="61"/>
      <c r="CI45" s="61"/>
      <c r="CJ45" s="61"/>
      <c r="CK45" s="61"/>
      <c r="CL45" s="61"/>
      <c r="CM45" s="61"/>
      <c r="CN45" s="61"/>
      <c r="CO45" s="61"/>
      <c r="CP45" s="61"/>
      <c r="CQ45" s="62"/>
      <c r="CR45" s="79"/>
      <c r="CS45" s="1"/>
      <c r="CT45" s="785"/>
      <c r="CU45" s="50"/>
      <c r="CV45" s="60"/>
      <c r="CW45" s="61"/>
      <c r="CX45" s="61"/>
      <c r="CY45" s="61"/>
      <c r="CZ45" s="61"/>
      <c r="DA45" s="61"/>
      <c r="DB45" s="61"/>
      <c r="DC45" s="61"/>
      <c r="DD45" s="61"/>
      <c r="DE45" s="61"/>
      <c r="DF45" s="61"/>
      <c r="DG45" s="62"/>
      <c r="DH45" s="79"/>
      <c r="DI45" s="1"/>
      <c r="DJ45" s="785"/>
      <c r="DK45" s="50"/>
      <c r="DL45" s="60"/>
      <c r="DM45" s="61"/>
      <c r="DN45" s="61"/>
      <c r="DO45" s="61"/>
      <c r="DP45" s="61"/>
      <c r="DQ45" s="61"/>
      <c r="DR45" s="61"/>
      <c r="DS45" s="61"/>
      <c r="DT45" s="61"/>
      <c r="DU45" s="61"/>
      <c r="DV45" s="61"/>
      <c r="DW45" s="62"/>
      <c r="DX45" s="79"/>
      <c r="DY45" s="1"/>
      <c r="DZ45" s="785"/>
      <c r="EA45" s="50"/>
      <c r="EB45" s="60"/>
      <c r="EC45" s="61"/>
      <c r="ED45" s="61"/>
      <c r="EE45" s="61"/>
      <c r="EF45" s="61"/>
      <c r="EG45" s="61"/>
      <c r="EH45" s="61"/>
      <c r="EI45" s="61"/>
      <c r="EJ45" s="61"/>
      <c r="EK45" s="61"/>
      <c r="EL45" s="61"/>
      <c r="EM45" s="62"/>
      <c r="EN45" s="79"/>
      <c r="EO45" s="1"/>
      <c r="EP45" s="785"/>
      <c r="EQ45" s="50"/>
      <c r="ER45" s="60"/>
      <c r="ES45" s="61"/>
      <c r="ET45" s="61"/>
      <c r="EU45" s="61"/>
      <c r="EV45" s="61"/>
      <c r="EW45" s="61"/>
      <c r="EX45" s="61"/>
      <c r="EY45" s="61"/>
      <c r="EZ45" s="61"/>
      <c r="FA45" s="61"/>
      <c r="FB45" s="61"/>
      <c r="FC45" s="62"/>
      <c r="FD45" s="79"/>
      <c r="FE45" s="1"/>
      <c r="FF45" s="785"/>
      <c r="FG45" s="50"/>
      <c r="FH45" s="60"/>
      <c r="FI45" s="61"/>
      <c r="FJ45" s="61"/>
      <c r="FK45" s="61"/>
      <c r="FL45" s="61"/>
      <c r="FM45" s="61"/>
      <c r="FN45" s="61"/>
      <c r="FO45" s="61"/>
      <c r="FP45" s="61"/>
      <c r="FQ45" s="61"/>
      <c r="FR45" s="61"/>
      <c r="FS45" s="62"/>
      <c r="FT45" s="79"/>
      <c r="FU45" s="1"/>
      <c r="FV45" s="785"/>
      <c r="FW45" s="50"/>
      <c r="FX45" s="60"/>
      <c r="FY45" s="61"/>
      <c r="FZ45" s="61"/>
      <c r="GA45" s="61"/>
      <c r="GB45" s="61"/>
      <c r="GC45" s="61"/>
      <c r="GD45" s="61"/>
      <c r="GE45" s="61"/>
      <c r="GF45" s="61"/>
      <c r="GG45" s="61"/>
      <c r="GH45" s="61"/>
      <c r="GI45" s="62"/>
      <c r="GJ45" s="79"/>
      <c r="GK45" s="1"/>
      <c r="GL45" s="785"/>
      <c r="GM45" s="50"/>
      <c r="GN45" s="60"/>
      <c r="GO45" s="61"/>
      <c r="GP45" s="61"/>
      <c r="GQ45" s="61"/>
      <c r="GR45" s="61"/>
      <c r="GS45" s="61"/>
      <c r="GT45" s="61"/>
      <c r="GU45" s="61"/>
      <c r="GV45" s="61"/>
      <c r="GW45" s="61"/>
      <c r="GX45" s="61"/>
      <c r="GY45" s="62"/>
      <c r="GZ45" s="79"/>
      <c r="HA45" s="1"/>
      <c r="HB45" s="785"/>
      <c r="HC45" s="50"/>
      <c r="HD45" s="60"/>
      <c r="HE45" s="61"/>
      <c r="HF45" s="61"/>
      <c r="HG45" s="61"/>
      <c r="HH45" s="61"/>
      <c r="HI45" s="61"/>
      <c r="HJ45" s="61"/>
      <c r="HK45" s="61"/>
      <c r="HL45" s="61"/>
      <c r="HM45" s="61"/>
      <c r="HN45" s="61"/>
      <c r="HO45" s="62"/>
      <c r="HP45" s="79"/>
      <c r="HQ45" s="1"/>
      <c r="HR45" s="785"/>
      <c r="HS45" s="50"/>
      <c r="HT45" s="60"/>
      <c r="HU45" s="61"/>
      <c r="HV45" s="61"/>
      <c r="HW45" s="61"/>
      <c r="HX45" s="61"/>
      <c r="HY45" s="61"/>
      <c r="HZ45" s="61"/>
      <c r="IA45" s="61"/>
      <c r="IB45" s="61"/>
      <c r="IC45" s="61"/>
      <c r="ID45" s="61"/>
      <c r="IE45" s="62"/>
      <c r="IF45" s="79"/>
      <c r="IG45" s="1"/>
      <c r="IH45" s="785"/>
      <c r="II45" s="50"/>
      <c r="IJ45" s="60"/>
      <c r="IK45" s="61"/>
      <c r="IL45" s="61"/>
      <c r="IM45" s="61"/>
      <c r="IN45" s="61"/>
      <c r="IO45" s="61"/>
      <c r="IP45" s="61"/>
      <c r="IQ45" s="61"/>
      <c r="IR45" s="61"/>
      <c r="IS45" s="61"/>
      <c r="IT45" s="61"/>
      <c r="IU45" s="62"/>
      <c r="IV45" s="79"/>
    </row>
    <row r="46" spans="1:256" ht="13.5" thickBot="1">
      <c r="A46" s="1"/>
      <c r="B46" s="786"/>
      <c r="C46" s="54" t="s">
        <v>184</v>
      </c>
      <c r="D46" s="56">
        <v>273</v>
      </c>
      <c r="E46" s="57">
        <v>282</v>
      </c>
      <c r="F46" s="57">
        <v>273</v>
      </c>
      <c r="G46" s="57">
        <v>282</v>
      </c>
      <c r="H46" s="57">
        <v>282</v>
      </c>
      <c r="I46" s="57">
        <v>273</v>
      </c>
      <c r="J46" s="57">
        <v>282</v>
      </c>
      <c r="K46" s="57">
        <v>273</v>
      </c>
      <c r="L46" s="57">
        <v>282</v>
      </c>
      <c r="M46" s="57">
        <v>282</v>
      </c>
      <c r="N46" s="57">
        <v>255</v>
      </c>
      <c r="O46" s="58">
        <v>282</v>
      </c>
      <c r="P46" s="59"/>
      <c r="Q46" s="1"/>
      <c r="R46" s="786"/>
      <c r="S46" s="54" t="s">
        <v>169</v>
      </c>
      <c r="T46" s="60">
        <v>273</v>
      </c>
      <c r="U46" s="61">
        <v>282</v>
      </c>
      <c r="V46" s="61">
        <v>273</v>
      </c>
      <c r="W46" s="61">
        <v>282</v>
      </c>
      <c r="X46" s="61">
        <v>282</v>
      </c>
      <c r="Y46" s="61">
        <v>273</v>
      </c>
      <c r="Z46" s="61">
        <v>282</v>
      </c>
      <c r="AA46" s="61">
        <v>273</v>
      </c>
      <c r="AB46" s="61">
        <v>282</v>
      </c>
      <c r="AC46" s="61">
        <v>282</v>
      </c>
      <c r="AD46" s="61">
        <v>255</v>
      </c>
      <c r="AE46" s="62">
        <v>282</v>
      </c>
      <c r="AF46" s="63"/>
      <c r="AG46" s="1"/>
      <c r="AH46" s="786"/>
      <c r="AI46" s="54" t="s">
        <v>169</v>
      </c>
      <c r="AJ46" s="60">
        <v>273</v>
      </c>
      <c r="AK46" s="61">
        <v>282</v>
      </c>
      <c r="AL46" s="61">
        <v>273</v>
      </c>
      <c r="AM46" s="61">
        <v>282</v>
      </c>
      <c r="AN46" s="61">
        <v>282</v>
      </c>
      <c r="AO46" s="61">
        <v>273</v>
      </c>
      <c r="AP46" s="61">
        <v>282</v>
      </c>
      <c r="AQ46" s="61">
        <v>273</v>
      </c>
      <c r="AR46" s="61">
        <v>282</v>
      </c>
      <c r="AS46" s="61">
        <v>282</v>
      </c>
      <c r="AT46" s="61">
        <v>255</v>
      </c>
      <c r="AU46" s="62">
        <v>282</v>
      </c>
      <c r="AV46" s="63"/>
      <c r="AW46" s="1"/>
      <c r="AX46" s="786"/>
      <c r="AY46" s="54" t="s">
        <v>169</v>
      </c>
      <c r="AZ46" s="60">
        <v>273</v>
      </c>
      <c r="BA46" s="61">
        <v>282</v>
      </c>
      <c r="BB46" s="61">
        <v>273</v>
      </c>
      <c r="BC46" s="61">
        <v>282</v>
      </c>
      <c r="BD46" s="61">
        <v>282</v>
      </c>
      <c r="BE46" s="61">
        <v>273</v>
      </c>
      <c r="BF46" s="61">
        <v>282</v>
      </c>
      <c r="BG46" s="61">
        <v>273</v>
      </c>
      <c r="BH46" s="61">
        <v>282</v>
      </c>
      <c r="BI46" s="61">
        <v>282</v>
      </c>
      <c r="BJ46" s="61">
        <v>255</v>
      </c>
      <c r="BK46" s="62">
        <v>282</v>
      </c>
      <c r="BL46" s="63"/>
      <c r="BM46" s="1"/>
      <c r="BN46" s="786"/>
      <c r="BO46" s="54" t="s">
        <v>169</v>
      </c>
      <c r="BP46" s="60">
        <v>273</v>
      </c>
      <c r="BQ46" s="61">
        <v>282</v>
      </c>
      <c r="BR46" s="61">
        <v>273</v>
      </c>
      <c r="BS46" s="61">
        <v>282</v>
      </c>
      <c r="BT46" s="61">
        <v>282</v>
      </c>
      <c r="BU46" s="61">
        <v>273</v>
      </c>
      <c r="BV46" s="61">
        <v>282</v>
      </c>
      <c r="BW46" s="61">
        <v>273</v>
      </c>
      <c r="BX46" s="61">
        <v>282</v>
      </c>
      <c r="BY46" s="61">
        <v>282</v>
      </c>
      <c r="BZ46" s="61">
        <v>255</v>
      </c>
      <c r="CA46" s="62">
        <v>282</v>
      </c>
      <c r="CB46" s="63"/>
      <c r="CC46" s="1"/>
      <c r="CD46" s="786"/>
      <c r="CE46" s="54" t="s">
        <v>169</v>
      </c>
      <c r="CF46" s="60">
        <v>273</v>
      </c>
      <c r="CG46" s="61">
        <v>282</v>
      </c>
      <c r="CH46" s="61">
        <v>273</v>
      </c>
      <c r="CI46" s="61">
        <v>282</v>
      </c>
      <c r="CJ46" s="61">
        <v>282</v>
      </c>
      <c r="CK46" s="61">
        <v>273</v>
      </c>
      <c r="CL46" s="61">
        <v>282</v>
      </c>
      <c r="CM46" s="61">
        <v>273</v>
      </c>
      <c r="CN46" s="61">
        <v>282</v>
      </c>
      <c r="CO46" s="61">
        <v>282</v>
      </c>
      <c r="CP46" s="61">
        <v>255</v>
      </c>
      <c r="CQ46" s="62">
        <v>282</v>
      </c>
      <c r="CR46" s="63"/>
      <c r="CS46" s="1"/>
      <c r="CT46" s="786"/>
      <c r="CU46" s="54" t="s">
        <v>169</v>
      </c>
      <c r="CV46" s="60">
        <v>273</v>
      </c>
      <c r="CW46" s="61">
        <v>282</v>
      </c>
      <c r="CX46" s="61">
        <v>273</v>
      </c>
      <c r="CY46" s="61">
        <v>282</v>
      </c>
      <c r="CZ46" s="61">
        <v>282</v>
      </c>
      <c r="DA46" s="61">
        <v>273</v>
      </c>
      <c r="DB46" s="61">
        <v>282</v>
      </c>
      <c r="DC46" s="61">
        <v>273</v>
      </c>
      <c r="DD46" s="61">
        <v>282</v>
      </c>
      <c r="DE46" s="61">
        <v>282</v>
      </c>
      <c r="DF46" s="61">
        <v>255</v>
      </c>
      <c r="DG46" s="62">
        <v>282</v>
      </c>
      <c r="DH46" s="63"/>
      <c r="DI46" s="1"/>
      <c r="DJ46" s="786"/>
      <c r="DK46" s="54" t="s">
        <v>169</v>
      </c>
      <c r="DL46" s="60">
        <v>273</v>
      </c>
      <c r="DM46" s="61">
        <v>282</v>
      </c>
      <c r="DN46" s="61">
        <v>273</v>
      </c>
      <c r="DO46" s="61">
        <v>282</v>
      </c>
      <c r="DP46" s="61">
        <v>282</v>
      </c>
      <c r="DQ46" s="61">
        <v>273</v>
      </c>
      <c r="DR46" s="61">
        <v>282</v>
      </c>
      <c r="DS46" s="61">
        <v>273</v>
      </c>
      <c r="DT46" s="61">
        <v>282</v>
      </c>
      <c r="DU46" s="61">
        <v>282</v>
      </c>
      <c r="DV46" s="61">
        <v>255</v>
      </c>
      <c r="DW46" s="62">
        <v>282</v>
      </c>
      <c r="DX46" s="63"/>
      <c r="DY46" s="1"/>
      <c r="DZ46" s="786"/>
      <c r="EA46" s="54" t="s">
        <v>169</v>
      </c>
      <c r="EB46" s="60">
        <v>273</v>
      </c>
      <c r="EC46" s="61">
        <v>282</v>
      </c>
      <c r="ED46" s="61">
        <v>273</v>
      </c>
      <c r="EE46" s="61">
        <v>282</v>
      </c>
      <c r="EF46" s="61">
        <v>282</v>
      </c>
      <c r="EG46" s="61">
        <v>273</v>
      </c>
      <c r="EH46" s="61">
        <v>282</v>
      </c>
      <c r="EI46" s="61">
        <v>273</v>
      </c>
      <c r="EJ46" s="61">
        <v>282</v>
      </c>
      <c r="EK46" s="61">
        <v>282</v>
      </c>
      <c r="EL46" s="61">
        <v>255</v>
      </c>
      <c r="EM46" s="62">
        <v>282</v>
      </c>
      <c r="EN46" s="63"/>
      <c r="EO46" s="1"/>
      <c r="EP46" s="786"/>
      <c r="EQ46" s="54" t="s">
        <v>169</v>
      </c>
      <c r="ER46" s="60">
        <v>273</v>
      </c>
      <c r="ES46" s="61">
        <v>282</v>
      </c>
      <c r="ET46" s="61">
        <v>273</v>
      </c>
      <c r="EU46" s="61">
        <v>282</v>
      </c>
      <c r="EV46" s="61">
        <v>282</v>
      </c>
      <c r="EW46" s="61">
        <v>273</v>
      </c>
      <c r="EX46" s="61">
        <v>282</v>
      </c>
      <c r="EY46" s="61">
        <v>273</v>
      </c>
      <c r="EZ46" s="61">
        <v>282</v>
      </c>
      <c r="FA46" s="61">
        <v>282</v>
      </c>
      <c r="FB46" s="61">
        <v>255</v>
      </c>
      <c r="FC46" s="62">
        <v>282</v>
      </c>
      <c r="FD46" s="63"/>
      <c r="FE46" s="1"/>
      <c r="FF46" s="786"/>
      <c r="FG46" s="54" t="s">
        <v>169</v>
      </c>
      <c r="FH46" s="60">
        <v>273</v>
      </c>
      <c r="FI46" s="61">
        <v>282</v>
      </c>
      <c r="FJ46" s="61">
        <v>273</v>
      </c>
      <c r="FK46" s="61">
        <v>282</v>
      </c>
      <c r="FL46" s="61">
        <v>282</v>
      </c>
      <c r="FM46" s="61">
        <v>273</v>
      </c>
      <c r="FN46" s="61">
        <v>282</v>
      </c>
      <c r="FO46" s="61">
        <v>273</v>
      </c>
      <c r="FP46" s="61">
        <v>282</v>
      </c>
      <c r="FQ46" s="61">
        <v>282</v>
      </c>
      <c r="FR46" s="61">
        <v>255</v>
      </c>
      <c r="FS46" s="62">
        <v>282</v>
      </c>
      <c r="FT46" s="63"/>
      <c r="FU46" s="1"/>
      <c r="FV46" s="786"/>
      <c r="FW46" s="54" t="s">
        <v>169</v>
      </c>
      <c r="FX46" s="60">
        <v>273</v>
      </c>
      <c r="FY46" s="61">
        <v>282</v>
      </c>
      <c r="FZ46" s="61">
        <v>273</v>
      </c>
      <c r="GA46" s="61">
        <v>282</v>
      </c>
      <c r="GB46" s="61">
        <v>282</v>
      </c>
      <c r="GC46" s="61">
        <v>273</v>
      </c>
      <c r="GD46" s="61">
        <v>282</v>
      </c>
      <c r="GE46" s="61">
        <v>273</v>
      </c>
      <c r="GF46" s="61">
        <v>282</v>
      </c>
      <c r="GG46" s="61">
        <v>282</v>
      </c>
      <c r="GH46" s="61">
        <v>255</v>
      </c>
      <c r="GI46" s="62">
        <v>282</v>
      </c>
      <c r="GJ46" s="63"/>
      <c r="GK46" s="1"/>
      <c r="GL46" s="786"/>
      <c r="GM46" s="54" t="s">
        <v>169</v>
      </c>
      <c r="GN46" s="60">
        <v>273</v>
      </c>
      <c r="GO46" s="61">
        <v>282</v>
      </c>
      <c r="GP46" s="61">
        <v>273</v>
      </c>
      <c r="GQ46" s="61">
        <v>282</v>
      </c>
      <c r="GR46" s="61">
        <v>282</v>
      </c>
      <c r="GS46" s="61">
        <v>273</v>
      </c>
      <c r="GT46" s="61">
        <v>282</v>
      </c>
      <c r="GU46" s="61">
        <v>273</v>
      </c>
      <c r="GV46" s="61">
        <v>282</v>
      </c>
      <c r="GW46" s="61">
        <v>282</v>
      </c>
      <c r="GX46" s="61">
        <v>255</v>
      </c>
      <c r="GY46" s="62">
        <v>282</v>
      </c>
      <c r="GZ46" s="63"/>
      <c r="HA46" s="1"/>
      <c r="HB46" s="786"/>
      <c r="HC46" s="54" t="s">
        <v>169</v>
      </c>
      <c r="HD46" s="60">
        <v>273</v>
      </c>
      <c r="HE46" s="61">
        <v>282</v>
      </c>
      <c r="HF46" s="61">
        <v>273</v>
      </c>
      <c r="HG46" s="61">
        <v>282</v>
      </c>
      <c r="HH46" s="61">
        <v>282</v>
      </c>
      <c r="HI46" s="61">
        <v>273</v>
      </c>
      <c r="HJ46" s="61">
        <v>282</v>
      </c>
      <c r="HK46" s="61">
        <v>273</v>
      </c>
      <c r="HL46" s="61">
        <v>282</v>
      </c>
      <c r="HM46" s="61">
        <v>282</v>
      </c>
      <c r="HN46" s="61">
        <v>255</v>
      </c>
      <c r="HO46" s="62">
        <v>282</v>
      </c>
      <c r="HP46" s="63"/>
      <c r="HQ46" s="1"/>
      <c r="HR46" s="786"/>
      <c r="HS46" s="54" t="s">
        <v>169</v>
      </c>
      <c r="HT46" s="60">
        <v>273</v>
      </c>
      <c r="HU46" s="61">
        <v>282</v>
      </c>
      <c r="HV46" s="61">
        <v>273</v>
      </c>
      <c r="HW46" s="61">
        <v>282</v>
      </c>
      <c r="HX46" s="61">
        <v>282</v>
      </c>
      <c r="HY46" s="61">
        <v>273</v>
      </c>
      <c r="HZ46" s="61">
        <v>282</v>
      </c>
      <c r="IA46" s="61">
        <v>273</v>
      </c>
      <c r="IB46" s="61">
        <v>282</v>
      </c>
      <c r="IC46" s="61">
        <v>282</v>
      </c>
      <c r="ID46" s="61">
        <v>255</v>
      </c>
      <c r="IE46" s="62">
        <v>282</v>
      </c>
      <c r="IF46" s="63"/>
      <c r="IG46" s="1"/>
      <c r="IH46" s="786"/>
      <c r="II46" s="54" t="s">
        <v>169</v>
      </c>
      <c r="IJ46" s="60">
        <v>273</v>
      </c>
      <c r="IK46" s="61">
        <v>282</v>
      </c>
      <c r="IL46" s="61">
        <v>273</v>
      </c>
      <c r="IM46" s="61">
        <v>282</v>
      </c>
      <c r="IN46" s="61">
        <v>282</v>
      </c>
      <c r="IO46" s="61">
        <v>273</v>
      </c>
      <c r="IP46" s="61">
        <v>282</v>
      </c>
      <c r="IQ46" s="61">
        <v>273</v>
      </c>
      <c r="IR46" s="61">
        <v>282</v>
      </c>
      <c r="IS46" s="61">
        <v>282</v>
      </c>
      <c r="IT46" s="61">
        <v>255</v>
      </c>
      <c r="IU46" s="62">
        <v>282</v>
      </c>
      <c r="IV46" s="63"/>
    </row>
    <row r="47" spans="1:256" ht="12.75">
      <c r="A47" s="1"/>
      <c r="B47" s="787" t="s">
        <v>50</v>
      </c>
      <c r="C47" s="51" t="s">
        <v>174</v>
      </c>
      <c r="D47" s="72">
        <v>0.885452</v>
      </c>
      <c r="E47" s="73">
        <v>0.885452</v>
      </c>
      <c r="F47" s="73">
        <v>0.885452</v>
      </c>
      <c r="G47" s="73">
        <v>0.885452</v>
      </c>
      <c r="H47" s="73">
        <v>0.885452</v>
      </c>
      <c r="I47" s="73">
        <v>0.885452</v>
      </c>
      <c r="J47" s="73">
        <v>0.885452</v>
      </c>
      <c r="K47" s="73">
        <v>0.885452</v>
      </c>
      <c r="L47" s="73">
        <v>0.885452</v>
      </c>
      <c r="M47" s="73">
        <v>0.885452</v>
      </c>
      <c r="N47" s="73">
        <v>0.885452</v>
      </c>
      <c r="O47" s="74">
        <v>0.885452</v>
      </c>
      <c r="P47" s="75"/>
      <c r="Q47" s="1"/>
      <c r="R47" s="787"/>
      <c r="S47" s="51" t="s">
        <v>171</v>
      </c>
      <c r="T47" s="69">
        <v>0.885452</v>
      </c>
      <c r="U47" s="70">
        <v>0.885452</v>
      </c>
      <c r="V47" s="70">
        <v>0.885452</v>
      </c>
      <c r="W47" s="70">
        <v>0.885452</v>
      </c>
      <c r="X47" s="70">
        <v>0.885452</v>
      </c>
      <c r="Y47" s="70">
        <v>0.885452</v>
      </c>
      <c r="Z47" s="70">
        <v>0.885452</v>
      </c>
      <c r="AA47" s="70">
        <v>0.885452</v>
      </c>
      <c r="AB47" s="70">
        <v>0.885452</v>
      </c>
      <c r="AC47" s="70">
        <v>0.885452</v>
      </c>
      <c r="AD47" s="70">
        <v>0.885452</v>
      </c>
      <c r="AE47" s="71">
        <v>0.885452</v>
      </c>
      <c r="AF47" s="55"/>
      <c r="AG47" s="1"/>
      <c r="AH47" s="787"/>
      <c r="AI47" s="51" t="s">
        <v>171</v>
      </c>
      <c r="AJ47" s="69">
        <v>0.885452</v>
      </c>
      <c r="AK47" s="70">
        <v>0.885452</v>
      </c>
      <c r="AL47" s="70">
        <v>0.885452</v>
      </c>
      <c r="AM47" s="70">
        <v>0.885452</v>
      </c>
      <c r="AN47" s="70">
        <v>0.885452</v>
      </c>
      <c r="AO47" s="70">
        <v>0.885452</v>
      </c>
      <c r="AP47" s="70">
        <v>0.885452</v>
      </c>
      <c r="AQ47" s="70">
        <v>0.885452</v>
      </c>
      <c r="AR47" s="70">
        <v>0.885452</v>
      </c>
      <c r="AS47" s="70">
        <v>0.885452</v>
      </c>
      <c r="AT47" s="70">
        <v>0.885452</v>
      </c>
      <c r="AU47" s="71">
        <v>0.885452</v>
      </c>
      <c r="AV47" s="55"/>
      <c r="AW47" s="1"/>
      <c r="AX47" s="787"/>
      <c r="AY47" s="51" t="s">
        <v>171</v>
      </c>
      <c r="AZ47" s="69">
        <v>0.885452</v>
      </c>
      <c r="BA47" s="70">
        <v>0.885452</v>
      </c>
      <c r="BB47" s="70">
        <v>0.885452</v>
      </c>
      <c r="BC47" s="70">
        <v>0.885452</v>
      </c>
      <c r="BD47" s="70">
        <v>0.885452</v>
      </c>
      <c r="BE47" s="70">
        <v>0.885452</v>
      </c>
      <c r="BF47" s="70">
        <v>0.885452</v>
      </c>
      <c r="BG47" s="70">
        <v>0.885452</v>
      </c>
      <c r="BH47" s="70">
        <v>0.885452</v>
      </c>
      <c r="BI47" s="70">
        <v>0.885452</v>
      </c>
      <c r="BJ47" s="70">
        <v>0.885452</v>
      </c>
      <c r="BK47" s="71">
        <v>0.885452</v>
      </c>
      <c r="BL47" s="55"/>
      <c r="BM47" s="1"/>
      <c r="BN47" s="787"/>
      <c r="BO47" s="51" t="s">
        <v>171</v>
      </c>
      <c r="BP47" s="69">
        <v>0.885452</v>
      </c>
      <c r="BQ47" s="70">
        <v>0.885452</v>
      </c>
      <c r="BR47" s="70">
        <v>0.885452</v>
      </c>
      <c r="BS47" s="70">
        <v>0.885452</v>
      </c>
      <c r="BT47" s="70">
        <v>0.885452</v>
      </c>
      <c r="BU47" s="70">
        <v>0.885452</v>
      </c>
      <c r="BV47" s="70">
        <v>0.885452</v>
      </c>
      <c r="BW47" s="70">
        <v>0.885452</v>
      </c>
      <c r="BX47" s="70">
        <v>0.885452</v>
      </c>
      <c r="BY47" s="70">
        <v>0.885452</v>
      </c>
      <c r="BZ47" s="70">
        <v>0.885452</v>
      </c>
      <c r="CA47" s="71">
        <v>0.885452</v>
      </c>
      <c r="CB47" s="55"/>
      <c r="CC47" s="1"/>
      <c r="CD47" s="787"/>
      <c r="CE47" s="51" t="s">
        <v>171</v>
      </c>
      <c r="CF47" s="69">
        <v>0.885452</v>
      </c>
      <c r="CG47" s="70">
        <v>0.885452</v>
      </c>
      <c r="CH47" s="70">
        <v>0.885452</v>
      </c>
      <c r="CI47" s="70">
        <v>0.885452</v>
      </c>
      <c r="CJ47" s="70">
        <v>0.885452</v>
      </c>
      <c r="CK47" s="70">
        <v>0.885452</v>
      </c>
      <c r="CL47" s="70">
        <v>0.885452</v>
      </c>
      <c r="CM47" s="70">
        <v>0.885452</v>
      </c>
      <c r="CN47" s="70">
        <v>0.885452</v>
      </c>
      <c r="CO47" s="70">
        <v>0.885452</v>
      </c>
      <c r="CP47" s="70">
        <v>0.885452</v>
      </c>
      <c r="CQ47" s="71">
        <v>0.885452</v>
      </c>
      <c r="CR47" s="55"/>
      <c r="CS47" s="1"/>
      <c r="CT47" s="787"/>
      <c r="CU47" s="51" t="s">
        <v>171</v>
      </c>
      <c r="CV47" s="69">
        <v>0.885452</v>
      </c>
      <c r="CW47" s="70">
        <v>0.885452</v>
      </c>
      <c r="CX47" s="70">
        <v>0.885452</v>
      </c>
      <c r="CY47" s="70">
        <v>0.885452</v>
      </c>
      <c r="CZ47" s="70">
        <v>0.885452</v>
      </c>
      <c r="DA47" s="70">
        <v>0.885452</v>
      </c>
      <c r="DB47" s="70">
        <v>0.885452</v>
      </c>
      <c r="DC47" s="70">
        <v>0.885452</v>
      </c>
      <c r="DD47" s="70">
        <v>0.885452</v>
      </c>
      <c r="DE47" s="70">
        <v>0.885452</v>
      </c>
      <c r="DF47" s="70">
        <v>0.885452</v>
      </c>
      <c r="DG47" s="71">
        <v>0.885452</v>
      </c>
      <c r="DH47" s="55"/>
      <c r="DI47" s="1"/>
      <c r="DJ47" s="787"/>
      <c r="DK47" s="51" t="s">
        <v>171</v>
      </c>
      <c r="DL47" s="69">
        <v>0.885452</v>
      </c>
      <c r="DM47" s="70">
        <v>0.885452</v>
      </c>
      <c r="DN47" s="70">
        <v>0.885452</v>
      </c>
      <c r="DO47" s="70">
        <v>0.885452</v>
      </c>
      <c r="DP47" s="70">
        <v>0.885452</v>
      </c>
      <c r="DQ47" s="70">
        <v>0.885452</v>
      </c>
      <c r="DR47" s="70">
        <v>0.885452</v>
      </c>
      <c r="DS47" s="70">
        <v>0.885452</v>
      </c>
      <c r="DT47" s="70">
        <v>0.885452</v>
      </c>
      <c r="DU47" s="70">
        <v>0.885452</v>
      </c>
      <c r="DV47" s="70">
        <v>0.885452</v>
      </c>
      <c r="DW47" s="71">
        <v>0.885452</v>
      </c>
      <c r="DX47" s="55"/>
      <c r="DY47" s="1"/>
      <c r="DZ47" s="787"/>
      <c r="EA47" s="51" t="s">
        <v>171</v>
      </c>
      <c r="EB47" s="69">
        <v>0.885452</v>
      </c>
      <c r="EC47" s="70">
        <v>0.885452</v>
      </c>
      <c r="ED47" s="70">
        <v>0.885452</v>
      </c>
      <c r="EE47" s="70">
        <v>0.885452</v>
      </c>
      <c r="EF47" s="70">
        <v>0.885452</v>
      </c>
      <c r="EG47" s="70">
        <v>0.885452</v>
      </c>
      <c r="EH47" s="70">
        <v>0.885452</v>
      </c>
      <c r="EI47" s="70">
        <v>0.885452</v>
      </c>
      <c r="EJ47" s="70">
        <v>0.885452</v>
      </c>
      <c r="EK47" s="70">
        <v>0.885452</v>
      </c>
      <c r="EL47" s="70">
        <v>0.885452</v>
      </c>
      <c r="EM47" s="71">
        <v>0.885452</v>
      </c>
      <c r="EN47" s="55"/>
      <c r="EO47" s="1"/>
      <c r="EP47" s="787"/>
      <c r="EQ47" s="51" t="s">
        <v>171</v>
      </c>
      <c r="ER47" s="69">
        <v>0.885452</v>
      </c>
      <c r="ES47" s="70">
        <v>0.885452</v>
      </c>
      <c r="ET47" s="70">
        <v>0.885452</v>
      </c>
      <c r="EU47" s="70">
        <v>0.885452</v>
      </c>
      <c r="EV47" s="70">
        <v>0.885452</v>
      </c>
      <c r="EW47" s="70">
        <v>0.885452</v>
      </c>
      <c r="EX47" s="70">
        <v>0.885452</v>
      </c>
      <c r="EY47" s="70">
        <v>0.885452</v>
      </c>
      <c r="EZ47" s="70">
        <v>0.885452</v>
      </c>
      <c r="FA47" s="70">
        <v>0.885452</v>
      </c>
      <c r="FB47" s="70">
        <v>0.885452</v>
      </c>
      <c r="FC47" s="71">
        <v>0.885452</v>
      </c>
      <c r="FD47" s="55"/>
      <c r="FE47" s="1"/>
      <c r="FF47" s="787"/>
      <c r="FG47" s="51" t="s">
        <v>171</v>
      </c>
      <c r="FH47" s="69">
        <v>0.885452</v>
      </c>
      <c r="FI47" s="70">
        <v>0.885452</v>
      </c>
      <c r="FJ47" s="70">
        <v>0.885452</v>
      </c>
      <c r="FK47" s="70">
        <v>0.885452</v>
      </c>
      <c r="FL47" s="70">
        <v>0.885452</v>
      </c>
      <c r="FM47" s="70">
        <v>0.885452</v>
      </c>
      <c r="FN47" s="70">
        <v>0.885452</v>
      </c>
      <c r="FO47" s="70">
        <v>0.885452</v>
      </c>
      <c r="FP47" s="70">
        <v>0.885452</v>
      </c>
      <c r="FQ47" s="70">
        <v>0.885452</v>
      </c>
      <c r="FR47" s="70">
        <v>0.885452</v>
      </c>
      <c r="FS47" s="71">
        <v>0.885452</v>
      </c>
      <c r="FT47" s="55"/>
      <c r="FU47" s="1"/>
      <c r="FV47" s="787"/>
      <c r="FW47" s="51" t="s">
        <v>171</v>
      </c>
      <c r="FX47" s="69">
        <v>0.885452</v>
      </c>
      <c r="FY47" s="70">
        <v>0.885452</v>
      </c>
      <c r="FZ47" s="70">
        <v>0.885452</v>
      </c>
      <c r="GA47" s="70">
        <v>0.885452</v>
      </c>
      <c r="GB47" s="70">
        <v>0.885452</v>
      </c>
      <c r="GC47" s="70">
        <v>0.885452</v>
      </c>
      <c r="GD47" s="70">
        <v>0.885452</v>
      </c>
      <c r="GE47" s="70">
        <v>0.885452</v>
      </c>
      <c r="GF47" s="70">
        <v>0.885452</v>
      </c>
      <c r="GG47" s="70">
        <v>0.885452</v>
      </c>
      <c r="GH47" s="70">
        <v>0.885452</v>
      </c>
      <c r="GI47" s="71">
        <v>0.885452</v>
      </c>
      <c r="GJ47" s="55"/>
      <c r="GK47" s="1"/>
      <c r="GL47" s="787"/>
      <c r="GM47" s="51" t="s">
        <v>171</v>
      </c>
      <c r="GN47" s="69">
        <v>0.885452</v>
      </c>
      <c r="GO47" s="70">
        <v>0.885452</v>
      </c>
      <c r="GP47" s="70">
        <v>0.885452</v>
      </c>
      <c r="GQ47" s="70">
        <v>0.885452</v>
      </c>
      <c r="GR47" s="70">
        <v>0.885452</v>
      </c>
      <c r="GS47" s="70">
        <v>0.885452</v>
      </c>
      <c r="GT47" s="70">
        <v>0.885452</v>
      </c>
      <c r="GU47" s="70">
        <v>0.885452</v>
      </c>
      <c r="GV47" s="70">
        <v>0.885452</v>
      </c>
      <c r="GW47" s="70">
        <v>0.885452</v>
      </c>
      <c r="GX47" s="70">
        <v>0.885452</v>
      </c>
      <c r="GY47" s="71">
        <v>0.885452</v>
      </c>
      <c r="GZ47" s="55"/>
      <c r="HA47" s="1"/>
      <c r="HB47" s="787"/>
      <c r="HC47" s="51" t="s">
        <v>171</v>
      </c>
      <c r="HD47" s="69">
        <v>0.885452</v>
      </c>
      <c r="HE47" s="70">
        <v>0.885452</v>
      </c>
      <c r="HF47" s="70">
        <v>0.885452</v>
      </c>
      <c r="HG47" s="70">
        <v>0.885452</v>
      </c>
      <c r="HH47" s="70">
        <v>0.885452</v>
      </c>
      <c r="HI47" s="70">
        <v>0.885452</v>
      </c>
      <c r="HJ47" s="70">
        <v>0.885452</v>
      </c>
      <c r="HK47" s="70">
        <v>0.885452</v>
      </c>
      <c r="HL47" s="70">
        <v>0.885452</v>
      </c>
      <c r="HM47" s="70">
        <v>0.885452</v>
      </c>
      <c r="HN47" s="70">
        <v>0.885452</v>
      </c>
      <c r="HO47" s="71">
        <v>0.885452</v>
      </c>
      <c r="HP47" s="55"/>
      <c r="HQ47" s="1"/>
      <c r="HR47" s="787"/>
      <c r="HS47" s="51" t="s">
        <v>171</v>
      </c>
      <c r="HT47" s="69">
        <v>0.885452</v>
      </c>
      <c r="HU47" s="70">
        <v>0.885452</v>
      </c>
      <c r="HV47" s="70">
        <v>0.885452</v>
      </c>
      <c r="HW47" s="70">
        <v>0.885452</v>
      </c>
      <c r="HX47" s="70">
        <v>0.885452</v>
      </c>
      <c r="HY47" s="70">
        <v>0.885452</v>
      </c>
      <c r="HZ47" s="70">
        <v>0.885452</v>
      </c>
      <c r="IA47" s="70">
        <v>0.885452</v>
      </c>
      <c r="IB47" s="70">
        <v>0.885452</v>
      </c>
      <c r="IC47" s="70">
        <v>0.885452</v>
      </c>
      <c r="ID47" s="70">
        <v>0.885452</v>
      </c>
      <c r="IE47" s="71">
        <v>0.885452</v>
      </c>
      <c r="IF47" s="55"/>
      <c r="IG47" s="1"/>
      <c r="IH47" s="787"/>
      <c r="II47" s="51" t="s">
        <v>171</v>
      </c>
      <c r="IJ47" s="69">
        <v>0.885452</v>
      </c>
      <c r="IK47" s="70">
        <v>0.885452</v>
      </c>
      <c r="IL47" s="70">
        <v>0.885452</v>
      </c>
      <c r="IM47" s="70">
        <v>0.885452</v>
      </c>
      <c r="IN47" s="70">
        <v>0.885452</v>
      </c>
      <c r="IO47" s="70">
        <v>0.885452</v>
      </c>
      <c r="IP47" s="70">
        <v>0.885452</v>
      </c>
      <c r="IQ47" s="70">
        <v>0.885452</v>
      </c>
      <c r="IR47" s="70">
        <v>0.885452</v>
      </c>
      <c r="IS47" s="70">
        <v>0.885452</v>
      </c>
      <c r="IT47" s="70">
        <v>0.885452</v>
      </c>
      <c r="IU47" s="71">
        <v>0.885452</v>
      </c>
      <c r="IV47" s="55"/>
    </row>
    <row r="48" spans="1:256" ht="12.75">
      <c r="A48" s="1"/>
      <c r="B48" s="785"/>
      <c r="C48" s="51" t="s">
        <v>182</v>
      </c>
      <c r="D48" s="67">
        <v>0.01954800000000001</v>
      </c>
      <c r="E48" s="67">
        <v>0.01954800000000001</v>
      </c>
      <c r="F48" s="67">
        <v>0.01954800000000001</v>
      </c>
      <c r="G48" s="67">
        <v>0.01954800000000001</v>
      </c>
      <c r="H48" s="67">
        <v>0.01954800000000001</v>
      </c>
      <c r="I48" s="67">
        <v>0.01954800000000001</v>
      </c>
      <c r="J48" s="67">
        <v>0.01954800000000001</v>
      </c>
      <c r="K48" s="67">
        <v>0.01954800000000001</v>
      </c>
      <c r="L48" s="67">
        <v>0.01954800000000001</v>
      </c>
      <c r="M48" s="67">
        <v>0.01954800000000001</v>
      </c>
      <c r="N48" s="67">
        <v>0.01954800000000001</v>
      </c>
      <c r="O48" s="68">
        <v>0.01954800000000001</v>
      </c>
      <c r="P48" s="12"/>
      <c r="Q48" s="1"/>
      <c r="R48" s="785"/>
      <c r="S48" s="80"/>
      <c r="T48" s="81"/>
      <c r="U48" s="81"/>
      <c r="V48" s="81"/>
      <c r="W48" s="81"/>
      <c r="X48" s="81"/>
      <c r="Y48" s="81"/>
      <c r="Z48" s="81"/>
      <c r="AA48" s="81"/>
      <c r="AB48" s="81"/>
      <c r="AC48" s="81"/>
      <c r="AD48" s="81"/>
      <c r="AE48" s="82"/>
      <c r="AF48" s="83"/>
      <c r="AG48" s="1"/>
      <c r="AH48" s="785"/>
      <c r="AI48" s="80"/>
      <c r="AJ48" s="81"/>
      <c r="AK48" s="81"/>
      <c r="AL48" s="81"/>
      <c r="AM48" s="81"/>
      <c r="AN48" s="81"/>
      <c r="AO48" s="81"/>
      <c r="AP48" s="81"/>
      <c r="AQ48" s="81"/>
      <c r="AR48" s="81"/>
      <c r="AS48" s="81"/>
      <c r="AT48" s="81"/>
      <c r="AU48" s="82"/>
      <c r="AV48" s="83"/>
      <c r="AW48" s="1"/>
      <c r="AX48" s="785"/>
      <c r="AY48" s="80"/>
      <c r="AZ48" s="81"/>
      <c r="BA48" s="81"/>
      <c r="BB48" s="81"/>
      <c r="BC48" s="81"/>
      <c r="BD48" s="81"/>
      <c r="BE48" s="81"/>
      <c r="BF48" s="81"/>
      <c r="BG48" s="81"/>
      <c r="BH48" s="81"/>
      <c r="BI48" s="81"/>
      <c r="BJ48" s="81"/>
      <c r="BK48" s="82"/>
      <c r="BL48" s="83"/>
      <c r="BM48" s="1"/>
      <c r="BN48" s="785"/>
      <c r="BO48" s="80"/>
      <c r="BP48" s="81"/>
      <c r="BQ48" s="81"/>
      <c r="BR48" s="81"/>
      <c r="BS48" s="81"/>
      <c r="BT48" s="81"/>
      <c r="BU48" s="81"/>
      <c r="BV48" s="81"/>
      <c r="BW48" s="81"/>
      <c r="BX48" s="81"/>
      <c r="BY48" s="81"/>
      <c r="BZ48" s="81"/>
      <c r="CA48" s="82"/>
      <c r="CB48" s="83"/>
      <c r="CC48" s="1"/>
      <c r="CD48" s="785"/>
      <c r="CE48" s="80"/>
      <c r="CF48" s="81"/>
      <c r="CG48" s="81"/>
      <c r="CH48" s="81"/>
      <c r="CI48" s="81"/>
      <c r="CJ48" s="81"/>
      <c r="CK48" s="81"/>
      <c r="CL48" s="81"/>
      <c r="CM48" s="81"/>
      <c r="CN48" s="81"/>
      <c r="CO48" s="81"/>
      <c r="CP48" s="81"/>
      <c r="CQ48" s="82"/>
      <c r="CR48" s="83"/>
      <c r="CS48" s="1"/>
      <c r="CT48" s="785"/>
      <c r="CU48" s="80"/>
      <c r="CV48" s="81"/>
      <c r="CW48" s="81"/>
      <c r="CX48" s="81"/>
      <c r="CY48" s="81"/>
      <c r="CZ48" s="81"/>
      <c r="DA48" s="81"/>
      <c r="DB48" s="81"/>
      <c r="DC48" s="81"/>
      <c r="DD48" s="81"/>
      <c r="DE48" s="81"/>
      <c r="DF48" s="81"/>
      <c r="DG48" s="82"/>
      <c r="DH48" s="83"/>
      <c r="DI48" s="1"/>
      <c r="DJ48" s="785"/>
      <c r="DK48" s="80"/>
      <c r="DL48" s="81"/>
      <c r="DM48" s="81"/>
      <c r="DN48" s="81"/>
      <c r="DO48" s="81"/>
      <c r="DP48" s="81"/>
      <c r="DQ48" s="81"/>
      <c r="DR48" s="81"/>
      <c r="DS48" s="81"/>
      <c r="DT48" s="81"/>
      <c r="DU48" s="81"/>
      <c r="DV48" s="81"/>
      <c r="DW48" s="82"/>
      <c r="DX48" s="83"/>
      <c r="DY48" s="1"/>
      <c r="DZ48" s="785"/>
      <c r="EA48" s="80"/>
      <c r="EB48" s="81"/>
      <c r="EC48" s="81"/>
      <c r="ED48" s="81"/>
      <c r="EE48" s="81"/>
      <c r="EF48" s="81"/>
      <c r="EG48" s="81"/>
      <c r="EH48" s="81"/>
      <c r="EI48" s="81"/>
      <c r="EJ48" s="81"/>
      <c r="EK48" s="81"/>
      <c r="EL48" s="81"/>
      <c r="EM48" s="82"/>
      <c r="EN48" s="83"/>
      <c r="EO48" s="1"/>
      <c r="EP48" s="785"/>
      <c r="EQ48" s="80"/>
      <c r="ER48" s="81"/>
      <c r="ES48" s="81"/>
      <c r="ET48" s="81"/>
      <c r="EU48" s="81"/>
      <c r="EV48" s="81"/>
      <c r="EW48" s="81"/>
      <c r="EX48" s="81"/>
      <c r="EY48" s="81"/>
      <c r="EZ48" s="81"/>
      <c r="FA48" s="81"/>
      <c r="FB48" s="81"/>
      <c r="FC48" s="82"/>
      <c r="FD48" s="83"/>
      <c r="FE48" s="1"/>
      <c r="FF48" s="785"/>
      <c r="FG48" s="80"/>
      <c r="FH48" s="81"/>
      <c r="FI48" s="81"/>
      <c r="FJ48" s="81"/>
      <c r="FK48" s="81"/>
      <c r="FL48" s="81"/>
      <c r="FM48" s="81"/>
      <c r="FN48" s="81"/>
      <c r="FO48" s="81"/>
      <c r="FP48" s="81"/>
      <c r="FQ48" s="81"/>
      <c r="FR48" s="81"/>
      <c r="FS48" s="82"/>
      <c r="FT48" s="83"/>
      <c r="FU48" s="1"/>
      <c r="FV48" s="785"/>
      <c r="FW48" s="80"/>
      <c r="FX48" s="81"/>
      <c r="FY48" s="81"/>
      <c r="FZ48" s="81"/>
      <c r="GA48" s="81"/>
      <c r="GB48" s="81"/>
      <c r="GC48" s="81"/>
      <c r="GD48" s="81"/>
      <c r="GE48" s="81"/>
      <c r="GF48" s="81"/>
      <c r="GG48" s="81"/>
      <c r="GH48" s="81"/>
      <c r="GI48" s="82"/>
      <c r="GJ48" s="83"/>
      <c r="GK48" s="1"/>
      <c r="GL48" s="785"/>
      <c r="GM48" s="80"/>
      <c r="GN48" s="81"/>
      <c r="GO48" s="81"/>
      <c r="GP48" s="81"/>
      <c r="GQ48" s="81"/>
      <c r="GR48" s="81"/>
      <c r="GS48" s="81"/>
      <c r="GT48" s="81"/>
      <c r="GU48" s="81"/>
      <c r="GV48" s="81"/>
      <c r="GW48" s="81"/>
      <c r="GX48" s="81"/>
      <c r="GY48" s="82"/>
      <c r="GZ48" s="83"/>
      <c r="HA48" s="1"/>
      <c r="HB48" s="785"/>
      <c r="HC48" s="80"/>
      <c r="HD48" s="81"/>
      <c r="HE48" s="81"/>
      <c r="HF48" s="81"/>
      <c r="HG48" s="81"/>
      <c r="HH48" s="81"/>
      <c r="HI48" s="81"/>
      <c r="HJ48" s="81"/>
      <c r="HK48" s="81"/>
      <c r="HL48" s="81"/>
      <c r="HM48" s="81"/>
      <c r="HN48" s="81"/>
      <c r="HO48" s="82"/>
      <c r="HP48" s="83"/>
      <c r="HQ48" s="1"/>
      <c r="HR48" s="785"/>
      <c r="HS48" s="80"/>
      <c r="HT48" s="81"/>
      <c r="HU48" s="81"/>
      <c r="HV48" s="81"/>
      <c r="HW48" s="81"/>
      <c r="HX48" s="81"/>
      <c r="HY48" s="81"/>
      <c r="HZ48" s="81"/>
      <c r="IA48" s="81"/>
      <c r="IB48" s="81"/>
      <c r="IC48" s="81"/>
      <c r="ID48" s="81"/>
      <c r="IE48" s="82"/>
      <c r="IF48" s="83"/>
      <c r="IG48" s="1"/>
      <c r="IH48" s="785"/>
      <c r="II48" s="80"/>
      <c r="IJ48" s="81"/>
      <c r="IK48" s="81"/>
      <c r="IL48" s="81"/>
      <c r="IM48" s="81"/>
      <c r="IN48" s="81"/>
      <c r="IO48" s="81"/>
      <c r="IP48" s="81"/>
      <c r="IQ48" s="81"/>
      <c r="IR48" s="81"/>
      <c r="IS48" s="81"/>
      <c r="IT48" s="81"/>
      <c r="IU48" s="82"/>
      <c r="IV48" s="83"/>
    </row>
    <row r="49" spans="1:256" ht="13.5" thickBot="1">
      <c r="A49" s="1"/>
      <c r="B49" s="788"/>
      <c r="C49" s="64" t="s">
        <v>185</v>
      </c>
      <c r="D49" s="65">
        <v>0.022792706333973123</v>
      </c>
      <c r="E49" s="65">
        <v>0.022792706333973123</v>
      </c>
      <c r="F49" s="65">
        <v>0.022792706333973123</v>
      </c>
      <c r="G49" s="65">
        <v>0.022792706333973123</v>
      </c>
      <c r="H49" s="65">
        <v>0.022792706333973123</v>
      </c>
      <c r="I49" s="65">
        <v>0.022792706333973123</v>
      </c>
      <c r="J49" s="65">
        <v>0.022792706333973123</v>
      </c>
      <c r="K49" s="65">
        <v>0.022792706333973123</v>
      </c>
      <c r="L49" s="65">
        <v>0.022792706333973123</v>
      </c>
      <c r="M49" s="65">
        <v>0.022792706333973123</v>
      </c>
      <c r="N49" s="65">
        <v>0.022792706333973123</v>
      </c>
      <c r="O49" s="66">
        <v>0.022792706333973123</v>
      </c>
      <c r="P49" s="52"/>
      <c r="Q49" s="1"/>
      <c r="R49" s="788"/>
      <c r="S49" s="64" t="s">
        <v>172</v>
      </c>
      <c r="T49" s="65">
        <v>0.9277927063339731</v>
      </c>
      <c r="U49" s="65">
        <v>0.9277927063339731</v>
      </c>
      <c r="V49" s="65">
        <v>0.9277927063339731</v>
      </c>
      <c r="W49" s="65">
        <v>0.9277927063339731</v>
      </c>
      <c r="X49" s="65">
        <v>0.9277927063339731</v>
      </c>
      <c r="Y49" s="65">
        <v>0.9277927063339731</v>
      </c>
      <c r="Z49" s="65">
        <v>0.9277927063339731</v>
      </c>
      <c r="AA49" s="65">
        <v>0.9277927063339731</v>
      </c>
      <c r="AB49" s="65">
        <v>0.9277927063339731</v>
      </c>
      <c r="AC49" s="65">
        <v>0.9277927063339731</v>
      </c>
      <c r="AD49" s="65">
        <v>0.9277927063339731</v>
      </c>
      <c r="AE49" s="66">
        <v>0.9277927063339731</v>
      </c>
      <c r="AF49" s="52"/>
      <c r="AG49" s="1"/>
      <c r="AH49" s="788"/>
      <c r="AI49" s="64" t="s">
        <v>172</v>
      </c>
      <c r="AJ49" s="65">
        <v>0.9277927063339731</v>
      </c>
      <c r="AK49" s="65">
        <v>0.9277927063339731</v>
      </c>
      <c r="AL49" s="65">
        <v>0.9277927063339731</v>
      </c>
      <c r="AM49" s="65">
        <v>0.9277927063339731</v>
      </c>
      <c r="AN49" s="65">
        <v>0.9277927063339731</v>
      </c>
      <c r="AO49" s="65">
        <v>0.9277927063339731</v>
      </c>
      <c r="AP49" s="65">
        <v>0.9277927063339731</v>
      </c>
      <c r="AQ49" s="65">
        <v>0.9277927063339731</v>
      </c>
      <c r="AR49" s="65">
        <v>0.9277927063339731</v>
      </c>
      <c r="AS49" s="65">
        <v>0.9277927063339731</v>
      </c>
      <c r="AT49" s="65">
        <v>0.9277927063339731</v>
      </c>
      <c r="AU49" s="66">
        <v>0.9277927063339731</v>
      </c>
      <c r="AV49" s="52"/>
      <c r="AW49" s="1"/>
      <c r="AX49" s="788"/>
      <c r="AY49" s="64" t="s">
        <v>172</v>
      </c>
      <c r="AZ49" s="65">
        <v>0.9277927063339731</v>
      </c>
      <c r="BA49" s="65">
        <v>0.9277927063339731</v>
      </c>
      <c r="BB49" s="65">
        <v>0.9277927063339731</v>
      </c>
      <c r="BC49" s="65">
        <v>0.9277927063339731</v>
      </c>
      <c r="BD49" s="65">
        <v>0.9277927063339731</v>
      </c>
      <c r="BE49" s="65">
        <v>0.9277927063339731</v>
      </c>
      <c r="BF49" s="65">
        <v>0.9277927063339731</v>
      </c>
      <c r="BG49" s="65">
        <v>0.9277927063339731</v>
      </c>
      <c r="BH49" s="65">
        <v>0.9277927063339731</v>
      </c>
      <c r="BI49" s="65">
        <v>0.9277927063339731</v>
      </c>
      <c r="BJ49" s="65">
        <v>0.9277927063339731</v>
      </c>
      <c r="BK49" s="66">
        <v>0.9277927063339731</v>
      </c>
      <c r="BL49" s="52"/>
      <c r="BM49" s="1"/>
      <c r="BN49" s="788"/>
      <c r="BO49" s="64" t="s">
        <v>172</v>
      </c>
      <c r="BP49" s="65">
        <v>0.9277927063339731</v>
      </c>
      <c r="BQ49" s="65">
        <v>0.9277927063339731</v>
      </c>
      <c r="BR49" s="65">
        <v>0.9277927063339731</v>
      </c>
      <c r="BS49" s="65">
        <v>0.9277927063339731</v>
      </c>
      <c r="BT49" s="65">
        <v>0.9277927063339731</v>
      </c>
      <c r="BU49" s="65">
        <v>0.9277927063339731</v>
      </c>
      <c r="BV49" s="65">
        <v>0.9277927063339731</v>
      </c>
      <c r="BW49" s="65">
        <v>0.9277927063339731</v>
      </c>
      <c r="BX49" s="65">
        <v>0.9277927063339731</v>
      </c>
      <c r="BY49" s="65">
        <v>0.9277927063339731</v>
      </c>
      <c r="BZ49" s="65">
        <v>0.9277927063339731</v>
      </c>
      <c r="CA49" s="66">
        <v>0.9277927063339731</v>
      </c>
      <c r="CB49" s="52"/>
      <c r="CC49" s="1"/>
      <c r="CD49" s="788"/>
      <c r="CE49" s="64" t="s">
        <v>172</v>
      </c>
      <c r="CF49" s="65">
        <v>0.9277927063339731</v>
      </c>
      <c r="CG49" s="65">
        <v>0.9277927063339731</v>
      </c>
      <c r="CH49" s="65">
        <v>0.9277927063339731</v>
      </c>
      <c r="CI49" s="65">
        <v>0.9277927063339731</v>
      </c>
      <c r="CJ49" s="65">
        <v>0.9277927063339731</v>
      </c>
      <c r="CK49" s="65">
        <v>0.9277927063339731</v>
      </c>
      <c r="CL49" s="65">
        <v>0.9277927063339731</v>
      </c>
      <c r="CM49" s="65">
        <v>0.9277927063339731</v>
      </c>
      <c r="CN49" s="65">
        <v>0.9277927063339731</v>
      </c>
      <c r="CO49" s="65">
        <v>0.9277927063339731</v>
      </c>
      <c r="CP49" s="65">
        <v>0.9277927063339731</v>
      </c>
      <c r="CQ49" s="66">
        <v>0.9277927063339731</v>
      </c>
      <c r="CR49" s="52"/>
      <c r="CS49" s="1"/>
      <c r="CT49" s="788"/>
      <c r="CU49" s="64" t="s">
        <v>172</v>
      </c>
      <c r="CV49" s="65">
        <v>0.9277927063339731</v>
      </c>
      <c r="CW49" s="65">
        <v>0.9277927063339731</v>
      </c>
      <c r="CX49" s="65">
        <v>0.9277927063339731</v>
      </c>
      <c r="CY49" s="65">
        <v>0.9277927063339731</v>
      </c>
      <c r="CZ49" s="65">
        <v>0.9277927063339731</v>
      </c>
      <c r="DA49" s="65">
        <v>0.9277927063339731</v>
      </c>
      <c r="DB49" s="65">
        <v>0.9277927063339731</v>
      </c>
      <c r="DC49" s="65">
        <v>0.9277927063339731</v>
      </c>
      <c r="DD49" s="65">
        <v>0.9277927063339731</v>
      </c>
      <c r="DE49" s="65">
        <v>0.9277927063339731</v>
      </c>
      <c r="DF49" s="65">
        <v>0.9277927063339731</v>
      </c>
      <c r="DG49" s="66">
        <v>0.9277927063339731</v>
      </c>
      <c r="DH49" s="52"/>
      <c r="DI49" s="1"/>
      <c r="DJ49" s="788"/>
      <c r="DK49" s="64" t="s">
        <v>172</v>
      </c>
      <c r="DL49" s="65">
        <v>0.9277927063339731</v>
      </c>
      <c r="DM49" s="65">
        <v>0.9277927063339731</v>
      </c>
      <c r="DN49" s="65">
        <v>0.9277927063339731</v>
      </c>
      <c r="DO49" s="65">
        <v>0.9277927063339731</v>
      </c>
      <c r="DP49" s="65">
        <v>0.9277927063339731</v>
      </c>
      <c r="DQ49" s="65">
        <v>0.9277927063339731</v>
      </c>
      <c r="DR49" s="65">
        <v>0.9277927063339731</v>
      </c>
      <c r="DS49" s="65">
        <v>0.9277927063339731</v>
      </c>
      <c r="DT49" s="65">
        <v>0.9277927063339731</v>
      </c>
      <c r="DU49" s="65">
        <v>0.9277927063339731</v>
      </c>
      <c r="DV49" s="65">
        <v>0.9277927063339731</v>
      </c>
      <c r="DW49" s="66">
        <v>0.9277927063339731</v>
      </c>
      <c r="DX49" s="52"/>
      <c r="DY49" s="1"/>
      <c r="DZ49" s="788"/>
      <c r="EA49" s="64" t="s">
        <v>172</v>
      </c>
      <c r="EB49" s="65">
        <v>0.9277927063339731</v>
      </c>
      <c r="EC49" s="65">
        <v>0.9277927063339731</v>
      </c>
      <c r="ED49" s="65">
        <v>0.9277927063339731</v>
      </c>
      <c r="EE49" s="65">
        <v>0.9277927063339731</v>
      </c>
      <c r="EF49" s="65">
        <v>0.9277927063339731</v>
      </c>
      <c r="EG49" s="65">
        <v>0.9277927063339731</v>
      </c>
      <c r="EH49" s="65">
        <v>0.9277927063339731</v>
      </c>
      <c r="EI49" s="65">
        <v>0.9277927063339731</v>
      </c>
      <c r="EJ49" s="65">
        <v>0.9277927063339731</v>
      </c>
      <c r="EK49" s="65">
        <v>0.9277927063339731</v>
      </c>
      <c r="EL49" s="65">
        <v>0.9277927063339731</v>
      </c>
      <c r="EM49" s="66">
        <v>0.9277927063339731</v>
      </c>
      <c r="EN49" s="52"/>
      <c r="EO49" s="1"/>
      <c r="EP49" s="788"/>
      <c r="EQ49" s="64" t="s">
        <v>172</v>
      </c>
      <c r="ER49" s="65">
        <v>0.9277927063339731</v>
      </c>
      <c r="ES49" s="65">
        <v>0.9277927063339731</v>
      </c>
      <c r="ET49" s="65">
        <v>0.9277927063339731</v>
      </c>
      <c r="EU49" s="65">
        <v>0.9277927063339731</v>
      </c>
      <c r="EV49" s="65">
        <v>0.9277927063339731</v>
      </c>
      <c r="EW49" s="65">
        <v>0.9277927063339731</v>
      </c>
      <c r="EX49" s="65">
        <v>0.9277927063339731</v>
      </c>
      <c r="EY49" s="65">
        <v>0.9277927063339731</v>
      </c>
      <c r="EZ49" s="65">
        <v>0.9277927063339731</v>
      </c>
      <c r="FA49" s="65">
        <v>0.9277927063339731</v>
      </c>
      <c r="FB49" s="65">
        <v>0.9277927063339731</v>
      </c>
      <c r="FC49" s="66">
        <v>0.9277927063339731</v>
      </c>
      <c r="FD49" s="52"/>
      <c r="FE49" s="1"/>
      <c r="FF49" s="788"/>
      <c r="FG49" s="64" t="s">
        <v>172</v>
      </c>
      <c r="FH49" s="65">
        <v>0.9277927063339731</v>
      </c>
      <c r="FI49" s="65">
        <v>0.9277927063339731</v>
      </c>
      <c r="FJ49" s="65">
        <v>0.9277927063339731</v>
      </c>
      <c r="FK49" s="65">
        <v>0.9277927063339731</v>
      </c>
      <c r="FL49" s="65">
        <v>0.9277927063339731</v>
      </c>
      <c r="FM49" s="65">
        <v>0.9277927063339731</v>
      </c>
      <c r="FN49" s="65">
        <v>0.9277927063339731</v>
      </c>
      <c r="FO49" s="65">
        <v>0.9277927063339731</v>
      </c>
      <c r="FP49" s="65">
        <v>0.9277927063339731</v>
      </c>
      <c r="FQ49" s="65">
        <v>0.9277927063339731</v>
      </c>
      <c r="FR49" s="65">
        <v>0.9277927063339731</v>
      </c>
      <c r="FS49" s="66">
        <v>0.9277927063339731</v>
      </c>
      <c r="FT49" s="52"/>
      <c r="FU49" s="1"/>
      <c r="FV49" s="788"/>
      <c r="FW49" s="64" t="s">
        <v>172</v>
      </c>
      <c r="FX49" s="65">
        <v>0.9277927063339731</v>
      </c>
      <c r="FY49" s="65">
        <v>0.9277927063339731</v>
      </c>
      <c r="FZ49" s="65">
        <v>0.9277927063339731</v>
      </c>
      <c r="GA49" s="65">
        <v>0.9277927063339731</v>
      </c>
      <c r="GB49" s="65">
        <v>0.9277927063339731</v>
      </c>
      <c r="GC49" s="65">
        <v>0.9277927063339731</v>
      </c>
      <c r="GD49" s="65">
        <v>0.9277927063339731</v>
      </c>
      <c r="GE49" s="65">
        <v>0.9277927063339731</v>
      </c>
      <c r="GF49" s="65">
        <v>0.9277927063339731</v>
      </c>
      <c r="GG49" s="65">
        <v>0.9277927063339731</v>
      </c>
      <c r="GH49" s="65">
        <v>0.9277927063339731</v>
      </c>
      <c r="GI49" s="66">
        <v>0.9277927063339731</v>
      </c>
      <c r="GJ49" s="52"/>
      <c r="GK49" s="1"/>
      <c r="GL49" s="788"/>
      <c r="GM49" s="64" t="s">
        <v>172</v>
      </c>
      <c r="GN49" s="65">
        <v>0.9277927063339731</v>
      </c>
      <c r="GO49" s="65">
        <v>0.9277927063339731</v>
      </c>
      <c r="GP49" s="65">
        <v>0.9277927063339731</v>
      </c>
      <c r="GQ49" s="65">
        <v>0.9277927063339731</v>
      </c>
      <c r="GR49" s="65">
        <v>0.9277927063339731</v>
      </c>
      <c r="GS49" s="65">
        <v>0.9277927063339731</v>
      </c>
      <c r="GT49" s="65">
        <v>0.9277927063339731</v>
      </c>
      <c r="GU49" s="65">
        <v>0.9277927063339731</v>
      </c>
      <c r="GV49" s="65">
        <v>0.9277927063339731</v>
      </c>
      <c r="GW49" s="65">
        <v>0.9277927063339731</v>
      </c>
      <c r="GX49" s="65">
        <v>0.9277927063339731</v>
      </c>
      <c r="GY49" s="66">
        <v>0.9277927063339731</v>
      </c>
      <c r="GZ49" s="52"/>
      <c r="HA49" s="1"/>
      <c r="HB49" s="788"/>
      <c r="HC49" s="64" t="s">
        <v>172</v>
      </c>
      <c r="HD49" s="65">
        <v>0.9277927063339731</v>
      </c>
      <c r="HE49" s="65">
        <v>0.9277927063339731</v>
      </c>
      <c r="HF49" s="65">
        <v>0.9277927063339731</v>
      </c>
      <c r="HG49" s="65">
        <v>0.9277927063339731</v>
      </c>
      <c r="HH49" s="65">
        <v>0.9277927063339731</v>
      </c>
      <c r="HI49" s="65">
        <v>0.9277927063339731</v>
      </c>
      <c r="HJ49" s="65">
        <v>0.9277927063339731</v>
      </c>
      <c r="HK49" s="65">
        <v>0.9277927063339731</v>
      </c>
      <c r="HL49" s="65">
        <v>0.9277927063339731</v>
      </c>
      <c r="HM49" s="65">
        <v>0.9277927063339731</v>
      </c>
      <c r="HN49" s="65">
        <v>0.9277927063339731</v>
      </c>
      <c r="HO49" s="66">
        <v>0.9277927063339731</v>
      </c>
      <c r="HP49" s="52"/>
      <c r="HQ49" s="1"/>
      <c r="HR49" s="788"/>
      <c r="HS49" s="64" t="s">
        <v>172</v>
      </c>
      <c r="HT49" s="65">
        <v>0.9277927063339731</v>
      </c>
      <c r="HU49" s="65">
        <v>0.9277927063339731</v>
      </c>
      <c r="HV49" s="65">
        <v>0.9277927063339731</v>
      </c>
      <c r="HW49" s="65">
        <v>0.9277927063339731</v>
      </c>
      <c r="HX49" s="65">
        <v>0.9277927063339731</v>
      </c>
      <c r="HY49" s="65">
        <v>0.9277927063339731</v>
      </c>
      <c r="HZ49" s="65">
        <v>0.9277927063339731</v>
      </c>
      <c r="IA49" s="65">
        <v>0.9277927063339731</v>
      </c>
      <c r="IB49" s="65">
        <v>0.9277927063339731</v>
      </c>
      <c r="IC49" s="65">
        <v>0.9277927063339731</v>
      </c>
      <c r="ID49" s="65">
        <v>0.9277927063339731</v>
      </c>
      <c r="IE49" s="66">
        <v>0.9277927063339731</v>
      </c>
      <c r="IF49" s="52"/>
      <c r="IG49" s="1"/>
      <c r="IH49" s="788"/>
      <c r="II49" s="64" t="s">
        <v>172</v>
      </c>
      <c r="IJ49" s="65">
        <v>0.9277927063339731</v>
      </c>
      <c r="IK49" s="65">
        <v>0.9277927063339731</v>
      </c>
      <c r="IL49" s="65">
        <v>0.9277927063339731</v>
      </c>
      <c r="IM49" s="65">
        <v>0.9277927063339731</v>
      </c>
      <c r="IN49" s="65">
        <v>0.9277927063339731</v>
      </c>
      <c r="IO49" s="65">
        <v>0.9277927063339731</v>
      </c>
      <c r="IP49" s="65">
        <v>0.9277927063339731</v>
      </c>
      <c r="IQ49" s="65">
        <v>0.9277927063339731</v>
      </c>
      <c r="IR49" s="65">
        <v>0.9277927063339731</v>
      </c>
      <c r="IS49" s="65">
        <v>0.9277927063339731</v>
      </c>
      <c r="IT49" s="65">
        <v>0.9277927063339731</v>
      </c>
      <c r="IU49" s="66">
        <v>0.9277927063339731</v>
      </c>
      <c r="IV49" s="52"/>
    </row>
    <row r="50" spans="4:15" ht="12.75">
      <c r="D50" s="85"/>
      <c r="E50" s="85"/>
      <c r="F50" s="85"/>
      <c r="G50" s="85"/>
      <c r="H50" s="85"/>
      <c r="I50" s="85"/>
      <c r="J50" s="85"/>
      <c r="K50" s="85"/>
      <c r="L50" s="85"/>
      <c r="M50" s="85"/>
      <c r="N50" s="85"/>
      <c r="O50" s="85"/>
    </row>
    <row r="51" spans="4:15" ht="12.75">
      <c r="D51" s="85"/>
      <c r="E51" s="85"/>
      <c r="F51" s="85"/>
      <c r="G51" s="85"/>
      <c r="H51" s="85"/>
      <c r="I51" s="85"/>
      <c r="J51" s="85"/>
      <c r="K51" s="85"/>
      <c r="L51" s="85"/>
      <c r="M51" s="85"/>
      <c r="N51" s="85"/>
      <c r="O51" s="85"/>
    </row>
    <row r="54" spans="1:7" ht="12.75">
      <c r="A54">
        <v>4</v>
      </c>
      <c r="B54" t="s">
        <v>132</v>
      </c>
      <c r="C54" t="s">
        <v>133</v>
      </c>
      <c r="D54" t="s">
        <v>85</v>
      </c>
      <c r="E54">
        <v>17.3218792</v>
      </c>
      <c r="G54" t="s">
        <v>133</v>
      </c>
    </row>
    <row r="55" spans="4:8" ht="12.75">
      <c r="D55" t="s">
        <v>94</v>
      </c>
      <c r="E55" t="s">
        <v>129</v>
      </c>
      <c r="G55">
        <v>0</v>
      </c>
      <c r="H55">
        <f>E56</f>
        <v>1</v>
      </c>
    </row>
    <row r="56" spans="3:8" ht="12.75">
      <c r="C56" t="s">
        <v>127</v>
      </c>
      <c r="D56">
        <v>0</v>
      </c>
      <c r="E56">
        <v>1</v>
      </c>
      <c r="G56">
        <v>12.4</v>
      </c>
      <c r="H56">
        <f aca="true" t="shared" si="2" ref="G56:H58">E56</f>
        <v>1</v>
      </c>
    </row>
    <row r="57" spans="3:8" ht="12.75">
      <c r="C57" t="s">
        <v>124</v>
      </c>
      <c r="D57">
        <v>17.32</v>
      </c>
      <c r="E57">
        <v>0</v>
      </c>
      <c r="G57">
        <f t="shared" si="2"/>
        <v>17.32</v>
      </c>
      <c r="H57">
        <f t="shared" si="2"/>
        <v>0</v>
      </c>
    </row>
    <row r="58" spans="3:8" ht="12.75">
      <c r="C58" t="s">
        <v>125</v>
      </c>
      <c r="D58">
        <v>17.32</v>
      </c>
      <c r="E58">
        <v>-1</v>
      </c>
      <c r="G58">
        <v>22.4</v>
      </c>
      <c r="H58">
        <f t="shared" si="2"/>
        <v>-1</v>
      </c>
    </row>
    <row r="59" spans="7:8" ht="12.75">
      <c r="G59">
        <v>40</v>
      </c>
      <c r="H59">
        <f>E58</f>
        <v>-1</v>
      </c>
    </row>
    <row r="60" spans="4:15" ht="12.75">
      <c r="D60" s="174">
        <v>40634</v>
      </c>
      <c r="E60" s="174">
        <v>40664</v>
      </c>
      <c r="F60" s="174">
        <v>40695</v>
      </c>
      <c r="G60" s="174">
        <v>40725</v>
      </c>
      <c r="H60" s="174">
        <v>40756</v>
      </c>
      <c r="I60" s="174">
        <v>40787</v>
      </c>
      <c r="J60" s="174">
        <v>40817</v>
      </c>
      <c r="K60" s="174">
        <v>40848</v>
      </c>
      <c r="L60" s="174">
        <v>40878</v>
      </c>
      <c r="M60" s="174">
        <v>40909</v>
      </c>
      <c r="N60" s="174">
        <v>40940</v>
      </c>
      <c r="O60" s="174">
        <v>40969</v>
      </c>
    </row>
    <row r="61" spans="3:15" ht="12.75">
      <c r="C61" t="s">
        <v>284</v>
      </c>
      <c r="D61">
        <f>(E54/12)</f>
        <v>1.4434899333333335</v>
      </c>
      <c r="E61">
        <f>(D61)</f>
        <v>1.4434899333333335</v>
      </c>
      <c r="F61">
        <f>(E61)</f>
        <v>1.4434899333333335</v>
      </c>
      <c r="G61">
        <f aca="true" t="shared" si="3" ref="G61:O61">(F61)</f>
        <v>1.4434899333333335</v>
      </c>
      <c r="H61">
        <f t="shared" si="3"/>
        <v>1.4434899333333335</v>
      </c>
      <c r="I61">
        <f t="shared" si="3"/>
        <v>1.4434899333333335</v>
      </c>
      <c r="J61">
        <f t="shared" si="3"/>
        <v>1.4434899333333335</v>
      </c>
      <c r="K61">
        <f t="shared" si="3"/>
        <v>1.4434899333333335</v>
      </c>
      <c r="L61">
        <f t="shared" si="3"/>
        <v>1.4434899333333335</v>
      </c>
      <c r="M61">
        <f t="shared" si="3"/>
        <v>1.4434899333333335</v>
      </c>
      <c r="N61">
        <f t="shared" si="3"/>
        <v>1.4434899333333335</v>
      </c>
      <c r="O61">
        <f t="shared" si="3"/>
        <v>1.4434899333333335</v>
      </c>
    </row>
    <row r="62" spans="3:15" ht="12.75">
      <c r="C62" t="s">
        <v>285</v>
      </c>
      <c r="D62" s="175">
        <f>(D65-D61)</f>
        <v>0.4265100666666666</v>
      </c>
      <c r="E62" s="175">
        <f>(D62)</f>
        <v>0.4265100666666666</v>
      </c>
      <c r="F62" s="175">
        <f aca="true" t="shared" si="4" ref="F62:O62">(E62)</f>
        <v>0.4265100666666666</v>
      </c>
      <c r="G62" s="175">
        <f t="shared" si="4"/>
        <v>0.4265100666666666</v>
      </c>
      <c r="H62" s="175">
        <f t="shared" si="4"/>
        <v>0.4265100666666666</v>
      </c>
      <c r="I62" s="175">
        <f t="shared" si="4"/>
        <v>0.4265100666666666</v>
      </c>
      <c r="J62" s="175">
        <f t="shared" si="4"/>
        <v>0.4265100666666666</v>
      </c>
      <c r="K62" s="175">
        <f t="shared" si="4"/>
        <v>0.4265100666666666</v>
      </c>
      <c r="L62" s="175">
        <f t="shared" si="4"/>
        <v>0.4265100666666666</v>
      </c>
      <c r="M62" s="175">
        <f t="shared" si="4"/>
        <v>0.4265100666666666</v>
      </c>
      <c r="N62" s="175">
        <f t="shared" si="4"/>
        <v>0.4265100666666666</v>
      </c>
      <c r="O62" s="175">
        <f t="shared" si="4"/>
        <v>0.4265100666666666</v>
      </c>
    </row>
    <row r="63" spans="3:15" ht="12.75">
      <c r="C63" t="s">
        <v>286</v>
      </c>
      <c r="D63">
        <f>(D61-D64)</f>
        <v>0.4101566000000001</v>
      </c>
      <c r="E63">
        <f>(D63)</f>
        <v>0.4101566000000001</v>
      </c>
      <c r="F63">
        <f aca="true" t="shared" si="5" ref="F63:O63">(E63)</f>
        <v>0.4101566000000001</v>
      </c>
      <c r="G63">
        <f t="shared" si="5"/>
        <v>0.4101566000000001</v>
      </c>
      <c r="H63">
        <f t="shared" si="5"/>
        <v>0.4101566000000001</v>
      </c>
      <c r="I63">
        <f t="shared" si="5"/>
        <v>0.4101566000000001</v>
      </c>
      <c r="J63">
        <f t="shared" si="5"/>
        <v>0.4101566000000001</v>
      </c>
      <c r="K63">
        <f t="shared" si="5"/>
        <v>0.4101566000000001</v>
      </c>
      <c r="L63">
        <f t="shared" si="5"/>
        <v>0.4101566000000001</v>
      </c>
      <c r="M63">
        <f t="shared" si="5"/>
        <v>0.4101566000000001</v>
      </c>
      <c r="N63">
        <f t="shared" si="5"/>
        <v>0.4101566000000001</v>
      </c>
      <c r="O63">
        <f t="shared" si="5"/>
        <v>0.4101566000000001</v>
      </c>
    </row>
    <row r="64" spans="4:15" ht="12.75">
      <c r="D64">
        <v>1.0333333333333334</v>
      </c>
      <c r="E64">
        <f>(D64)</f>
        <v>1.0333333333333334</v>
      </c>
      <c r="F64">
        <f aca="true" t="shared" si="6" ref="F64:O64">(E64)</f>
        <v>1.0333333333333334</v>
      </c>
      <c r="G64">
        <f t="shared" si="6"/>
        <v>1.0333333333333334</v>
      </c>
      <c r="H64">
        <f t="shared" si="6"/>
        <v>1.0333333333333334</v>
      </c>
      <c r="I64">
        <f t="shared" si="6"/>
        <v>1.0333333333333334</v>
      </c>
      <c r="J64">
        <f t="shared" si="6"/>
        <v>1.0333333333333334</v>
      </c>
      <c r="K64">
        <f t="shared" si="6"/>
        <v>1.0333333333333334</v>
      </c>
      <c r="L64">
        <f t="shared" si="6"/>
        <v>1.0333333333333334</v>
      </c>
      <c r="M64">
        <f t="shared" si="6"/>
        <v>1.0333333333333334</v>
      </c>
      <c r="N64">
        <f t="shared" si="6"/>
        <v>1.0333333333333334</v>
      </c>
      <c r="O64">
        <f t="shared" si="6"/>
        <v>1.0333333333333334</v>
      </c>
    </row>
    <row r="65" spans="4:15" ht="12.75">
      <c r="D65">
        <v>1.87</v>
      </c>
      <c r="E65">
        <v>1.87</v>
      </c>
      <c r="F65">
        <v>1.87</v>
      </c>
      <c r="G65">
        <v>1.87</v>
      </c>
      <c r="H65">
        <v>1.87</v>
      </c>
      <c r="I65">
        <v>1.87</v>
      </c>
      <c r="J65">
        <v>1.87</v>
      </c>
      <c r="K65">
        <v>1.87</v>
      </c>
      <c r="L65">
        <v>1.87</v>
      </c>
      <c r="M65">
        <v>1.87</v>
      </c>
      <c r="N65">
        <v>1.87</v>
      </c>
      <c r="O65">
        <v>1.87</v>
      </c>
    </row>
    <row r="69" spans="1:7" ht="12.75">
      <c r="A69">
        <v>5</v>
      </c>
      <c r="B69" t="s">
        <v>134</v>
      </c>
      <c r="G69" t="s">
        <v>135</v>
      </c>
    </row>
    <row r="70" spans="7:8" ht="12.75">
      <c r="G70">
        <v>-4</v>
      </c>
      <c r="H70">
        <v>-3.5</v>
      </c>
    </row>
    <row r="71" spans="4:8" ht="12.75">
      <c r="D71" t="s">
        <v>136</v>
      </c>
      <c r="E71" t="s">
        <v>137</v>
      </c>
      <c r="G71">
        <v>-3.5</v>
      </c>
      <c r="H71">
        <v>-3.5</v>
      </c>
    </row>
    <row r="72" spans="3:8" ht="12.75">
      <c r="C72" t="s">
        <v>125</v>
      </c>
      <c r="D72">
        <v>-3.5</v>
      </c>
      <c r="E72">
        <v>-3.5</v>
      </c>
      <c r="G72">
        <v>3.5</v>
      </c>
      <c r="H72">
        <v>3.5</v>
      </c>
    </row>
    <row r="73" spans="3:8" ht="12.75">
      <c r="C73" t="s">
        <v>123</v>
      </c>
      <c r="D73">
        <v>3.5</v>
      </c>
      <c r="E73">
        <v>3.5</v>
      </c>
      <c r="G73">
        <v>4</v>
      </c>
      <c r="H73">
        <v>3.5</v>
      </c>
    </row>
    <row r="75" ht="12.75">
      <c r="C75" t="s">
        <v>148</v>
      </c>
    </row>
    <row r="77" spans="3:5" ht="12.75">
      <c r="C77" t="s">
        <v>149</v>
      </c>
      <c r="D77" s="34">
        <v>0</v>
      </c>
      <c r="E77">
        <v>1500</v>
      </c>
    </row>
    <row r="78" spans="3:5" ht="12.75">
      <c r="C78" t="s">
        <v>147</v>
      </c>
      <c r="D78" s="85">
        <v>0.05</v>
      </c>
      <c r="E78">
        <v>-3500</v>
      </c>
    </row>
    <row r="79" spans="3:5" ht="12.75">
      <c r="C79" t="s">
        <v>147</v>
      </c>
      <c r="D79" s="34">
        <v>0.75667</v>
      </c>
      <c r="E79">
        <v>-30000</v>
      </c>
    </row>
    <row r="80" spans="3:5" ht="12.75">
      <c r="C80" t="s">
        <v>150</v>
      </c>
      <c r="D80" s="34">
        <v>1</v>
      </c>
      <c r="E80">
        <v>-30000</v>
      </c>
    </row>
    <row r="82" ht="12.75">
      <c r="C82" t="s">
        <v>226</v>
      </c>
    </row>
    <row r="84" spans="3:5" ht="12.75">
      <c r="C84" t="s">
        <v>149</v>
      </c>
      <c r="D84" s="36">
        <v>0</v>
      </c>
      <c r="E84">
        <v>4000</v>
      </c>
    </row>
    <row r="85" spans="3:5" ht="12.75">
      <c r="C85" t="s">
        <v>147</v>
      </c>
      <c r="D85" s="36">
        <v>1.5</v>
      </c>
      <c r="E85">
        <v>4000</v>
      </c>
    </row>
    <row r="86" spans="3:5" ht="12.75">
      <c r="C86" t="s">
        <v>147</v>
      </c>
      <c r="D86" s="36">
        <v>2.8</v>
      </c>
      <c r="E86">
        <v>0</v>
      </c>
    </row>
    <row r="87" spans="3:5" ht="12.75">
      <c r="C87" t="s">
        <v>150</v>
      </c>
      <c r="D87" s="36">
        <v>15</v>
      </c>
      <c r="E87">
        <v>-30000</v>
      </c>
    </row>
    <row r="88" spans="3:5" ht="12.75">
      <c r="C88" t="s">
        <v>150</v>
      </c>
      <c r="D88" s="36">
        <v>30</v>
      </c>
      <c r="E88">
        <v>-30000</v>
      </c>
    </row>
    <row r="91" spans="4:8" ht="13.5" thickBot="1">
      <c r="D91" t="s">
        <v>148</v>
      </c>
      <c r="H91" t="s">
        <v>151</v>
      </c>
    </row>
    <row r="92" spans="4:11" s="122" customFormat="1" ht="39" thickBot="1">
      <c r="D92" s="123" t="s">
        <v>21</v>
      </c>
      <c r="E92" s="124" t="s">
        <v>262</v>
      </c>
      <c r="F92" s="124" t="s">
        <v>157</v>
      </c>
      <c r="G92" s="124" t="s">
        <v>263</v>
      </c>
      <c r="H92" s="124" t="s">
        <v>191</v>
      </c>
      <c r="I92" s="124" t="s">
        <v>192</v>
      </c>
      <c r="J92" s="124" t="s">
        <v>225</v>
      </c>
      <c r="K92" s="125" t="s">
        <v>193</v>
      </c>
    </row>
    <row r="93" spans="3:11" ht="12.75">
      <c r="C93" s="127">
        <v>40634</v>
      </c>
      <c r="D93" s="119">
        <v>0</v>
      </c>
      <c r="E93" s="114">
        <v>1.5</v>
      </c>
      <c r="F93" s="114">
        <v>1.5</v>
      </c>
      <c r="G93" s="114">
        <v>1.5</v>
      </c>
      <c r="H93" s="114">
        <v>1.5</v>
      </c>
      <c r="I93" s="114">
        <v>1.3</v>
      </c>
      <c r="J93" s="114">
        <v>2.8</v>
      </c>
      <c r="K93" s="115">
        <f>132.8/30-J93</f>
        <v>1.626666666666667</v>
      </c>
    </row>
    <row r="94" spans="3:11" ht="12.75">
      <c r="C94" s="128">
        <v>40664</v>
      </c>
      <c r="D94" s="120">
        <v>0</v>
      </c>
      <c r="E94" s="113">
        <v>1.5</v>
      </c>
      <c r="F94" s="113">
        <v>1.5</v>
      </c>
      <c r="G94" s="113">
        <v>1.5</v>
      </c>
      <c r="H94" s="113">
        <v>1.5</v>
      </c>
      <c r="I94" s="113">
        <v>1.3</v>
      </c>
      <c r="J94" s="113">
        <v>2.8</v>
      </c>
      <c r="K94" s="116">
        <f aca="true" t="shared" si="7" ref="K94:K104">132.8/30-J94</f>
        <v>1.626666666666667</v>
      </c>
    </row>
    <row r="95" spans="3:11" ht="12.75">
      <c r="C95" s="128">
        <v>40695</v>
      </c>
      <c r="D95" s="120">
        <v>0</v>
      </c>
      <c r="E95" s="113">
        <v>1.5</v>
      </c>
      <c r="F95" s="113">
        <v>1.5</v>
      </c>
      <c r="G95" s="113">
        <v>1.5</v>
      </c>
      <c r="H95" s="113">
        <v>1.5</v>
      </c>
      <c r="I95" s="113">
        <v>1.3</v>
      </c>
      <c r="J95" s="113">
        <v>2.8</v>
      </c>
      <c r="K95" s="116">
        <f t="shared" si="7"/>
        <v>1.626666666666667</v>
      </c>
    </row>
    <row r="96" spans="3:11" ht="12.75">
      <c r="C96" s="128">
        <v>40725</v>
      </c>
      <c r="D96" s="120">
        <v>0</v>
      </c>
      <c r="E96" s="113">
        <v>1.5</v>
      </c>
      <c r="F96" s="113">
        <v>1.5</v>
      </c>
      <c r="G96" s="113">
        <v>1.5</v>
      </c>
      <c r="H96" s="113">
        <v>1.5</v>
      </c>
      <c r="I96" s="113">
        <v>1.3</v>
      </c>
      <c r="J96" s="113">
        <v>2.8</v>
      </c>
      <c r="K96" s="116">
        <f t="shared" si="7"/>
        <v>1.626666666666667</v>
      </c>
    </row>
    <row r="97" spans="3:11" ht="12.75">
      <c r="C97" s="128">
        <v>40756</v>
      </c>
      <c r="D97" s="120">
        <v>0</v>
      </c>
      <c r="E97" s="113">
        <v>1.5</v>
      </c>
      <c r="F97" s="113">
        <v>1.5</v>
      </c>
      <c r="G97" s="113">
        <v>1.5</v>
      </c>
      <c r="H97" s="113">
        <v>1.5</v>
      </c>
      <c r="I97" s="113">
        <v>1.3</v>
      </c>
      <c r="J97" s="113">
        <v>2.8</v>
      </c>
      <c r="K97" s="116">
        <f t="shared" si="7"/>
        <v>1.626666666666667</v>
      </c>
    </row>
    <row r="98" spans="3:11" ht="12.75">
      <c r="C98" s="128">
        <v>40787</v>
      </c>
      <c r="D98" s="120">
        <v>0</v>
      </c>
      <c r="E98" s="113">
        <v>1.5</v>
      </c>
      <c r="F98" s="113">
        <v>1.5</v>
      </c>
      <c r="G98" s="113">
        <v>1.5</v>
      </c>
      <c r="H98" s="113">
        <v>1.5</v>
      </c>
      <c r="I98" s="113">
        <v>1.3</v>
      </c>
      <c r="J98" s="113">
        <v>2.8</v>
      </c>
      <c r="K98" s="116">
        <f t="shared" si="7"/>
        <v>1.626666666666667</v>
      </c>
    </row>
    <row r="99" spans="3:11" ht="12.75">
      <c r="C99" s="128">
        <v>40817</v>
      </c>
      <c r="D99" s="120">
        <v>0</v>
      </c>
      <c r="E99" s="113">
        <v>1.5</v>
      </c>
      <c r="F99" s="113">
        <v>1.5</v>
      </c>
      <c r="G99" s="113">
        <v>1.5</v>
      </c>
      <c r="H99" s="113">
        <v>1.5</v>
      </c>
      <c r="I99" s="113">
        <v>1.3</v>
      </c>
      <c r="J99" s="113">
        <v>2.8</v>
      </c>
      <c r="K99" s="116">
        <f t="shared" si="7"/>
        <v>1.626666666666667</v>
      </c>
    </row>
    <row r="100" spans="3:11" ht="12.75">
      <c r="C100" s="128">
        <v>40848</v>
      </c>
      <c r="D100" s="120">
        <v>0</v>
      </c>
      <c r="E100" s="113">
        <v>1.5</v>
      </c>
      <c r="F100" s="113">
        <v>1.5</v>
      </c>
      <c r="G100" s="113">
        <v>1.5</v>
      </c>
      <c r="H100" s="113">
        <v>1.5</v>
      </c>
      <c r="I100" s="113">
        <v>1.3</v>
      </c>
      <c r="J100" s="113">
        <v>2.8</v>
      </c>
      <c r="K100" s="116">
        <f t="shared" si="7"/>
        <v>1.626666666666667</v>
      </c>
    </row>
    <row r="101" spans="3:11" ht="12.75">
      <c r="C101" s="128">
        <v>40878</v>
      </c>
      <c r="D101" s="120">
        <v>0</v>
      </c>
      <c r="E101" s="113">
        <v>1.5</v>
      </c>
      <c r="F101" s="113">
        <v>1.5</v>
      </c>
      <c r="G101" s="113">
        <v>1.5</v>
      </c>
      <c r="H101" s="113">
        <v>1.5</v>
      </c>
      <c r="I101" s="113">
        <v>1.3</v>
      </c>
      <c r="J101" s="113">
        <v>2.8</v>
      </c>
      <c r="K101" s="116">
        <f t="shared" si="7"/>
        <v>1.626666666666667</v>
      </c>
    </row>
    <row r="102" spans="3:11" ht="12.75">
      <c r="C102" s="128">
        <v>40909</v>
      </c>
      <c r="D102" s="120">
        <v>0</v>
      </c>
      <c r="E102" s="113">
        <v>1.5</v>
      </c>
      <c r="F102" s="113">
        <v>1.5</v>
      </c>
      <c r="G102" s="113">
        <v>1.5</v>
      </c>
      <c r="H102" s="113">
        <v>1.5</v>
      </c>
      <c r="I102" s="113">
        <v>1.3</v>
      </c>
      <c r="J102" s="113">
        <v>2.8</v>
      </c>
      <c r="K102" s="116">
        <f t="shared" si="7"/>
        <v>1.626666666666667</v>
      </c>
    </row>
    <row r="103" spans="3:11" ht="12.75">
      <c r="C103" s="128">
        <v>40940</v>
      </c>
      <c r="D103" s="120">
        <v>0</v>
      </c>
      <c r="E103" s="113">
        <v>1.5</v>
      </c>
      <c r="F103" s="113">
        <v>1.5</v>
      </c>
      <c r="G103" s="113">
        <v>1.5</v>
      </c>
      <c r="H103" s="113">
        <v>1.5</v>
      </c>
      <c r="I103" s="113">
        <v>1.3</v>
      </c>
      <c r="J103" s="113">
        <v>2.8</v>
      </c>
      <c r="K103" s="116">
        <f t="shared" si="7"/>
        <v>1.626666666666667</v>
      </c>
    </row>
    <row r="104" spans="3:11" ht="13.5" thickBot="1">
      <c r="C104" s="129">
        <v>40969</v>
      </c>
      <c r="D104" s="121">
        <v>0</v>
      </c>
      <c r="E104" s="117">
        <v>1.5</v>
      </c>
      <c r="F104" s="117">
        <v>1.5</v>
      </c>
      <c r="G104" s="117">
        <v>1.5</v>
      </c>
      <c r="H104" s="117">
        <v>1.5</v>
      </c>
      <c r="I104" s="117">
        <v>1.3</v>
      </c>
      <c r="J104" s="117">
        <v>2.8</v>
      </c>
      <c r="K104" s="118">
        <f t="shared" si="7"/>
        <v>1.626666666666667</v>
      </c>
    </row>
    <row r="105" ht="12.75">
      <c r="K105" s="93"/>
    </row>
    <row r="106" ht="12.75">
      <c r="K106" s="93"/>
    </row>
    <row r="107" ht="12.75">
      <c r="K107" s="93"/>
    </row>
    <row r="108" spans="1:17" ht="12.75">
      <c r="A108">
        <v>6</v>
      </c>
      <c r="B108" t="s">
        <v>130</v>
      </c>
      <c r="P108" t="s">
        <v>131</v>
      </c>
      <c r="Q108">
        <v>142.43817470296418</v>
      </c>
    </row>
    <row r="109" spans="3:17" ht="12.75">
      <c r="C109" t="s">
        <v>150</v>
      </c>
      <c r="D109">
        <v>-25</v>
      </c>
      <c r="E109">
        <v>-4</v>
      </c>
      <c r="Q109">
        <v>0.5</v>
      </c>
    </row>
    <row r="110" spans="3:5" ht="12.75">
      <c r="C110" t="s">
        <v>125</v>
      </c>
      <c r="D110">
        <v>-20</v>
      </c>
      <c r="E110">
        <v>-4</v>
      </c>
    </row>
    <row r="111" spans="3:5" ht="12.75">
      <c r="C111" t="s">
        <v>124</v>
      </c>
      <c r="D111">
        <v>0</v>
      </c>
      <c r="E111">
        <v>0</v>
      </c>
    </row>
    <row r="112" spans="3:5" ht="12.75">
      <c r="C112" t="s">
        <v>123</v>
      </c>
      <c r="D112">
        <v>20</v>
      </c>
      <c r="E112">
        <v>5</v>
      </c>
    </row>
    <row r="113" spans="3:5" ht="12.75">
      <c r="C113" t="s">
        <v>123</v>
      </c>
      <c r="D113">
        <v>25</v>
      </c>
      <c r="E113">
        <v>5</v>
      </c>
    </row>
    <row r="115" spans="3:15" ht="12.75">
      <c r="C115" s="91" t="s">
        <v>160</v>
      </c>
      <c r="D115" s="92">
        <f>F115/3</f>
        <v>11.313333333333333</v>
      </c>
      <c r="E115" s="92">
        <f>D115+F115/3</f>
        <v>22.626666666666665</v>
      </c>
      <c r="F115" s="92">
        <f>(Shrinkage!$E$37-'Graph Data'!F116)</f>
        <v>33.94</v>
      </c>
      <c r="G115" s="92">
        <f>F115+(I115-F115)/3</f>
        <v>42.11666666666667</v>
      </c>
      <c r="H115" s="92">
        <f>I115-(I115-F115)/3</f>
        <v>50.29333333333333</v>
      </c>
      <c r="I115" s="92">
        <f>(Shrinkage!$H$37-'Graph Data'!I116)</f>
        <v>58.47</v>
      </c>
      <c r="J115" s="92">
        <f>I115+(L115-I115)/3</f>
        <v>71.75333333333333</v>
      </c>
      <c r="K115" s="92">
        <f>L115-(L115-I115)/3</f>
        <v>85.03666666666666</v>
      </c>
      <c r="L115" s="92">
        <f>(Shrinkage!$K$37-'Graph Data'!L116)</f>
        <v>98.32</v>
      </c>
      <c r="M115" s="92">
        <f>L115+(O115-L115)/3</f>
        <v>112.49333333333333</v>
      </c>
      <c r="N115" s="92">
        <f>O115-(O115-L115)/3</f>
        <v>126.66666666666667</v>
      </c>
      <c r="O115" s="92">
        <f>(Shrinkage!$N$37-'Graph Data'!O116)</f>
        <v>140.84</v>
      </c>
    </row>
    <row r="116" spans="3:15" ht="12.75">
      <c r="C116" t="s">
        <v>186</v>
      </c>
      <c r="D116" s="89">
        <f>F116/3</f>
        <v>1.6666666666666667</v>
      </c>
      <c r="E116" s="89">
        <f>D116*2</f>
        <v>3.3333333333333335</v>
      </c>
      <c r="F116" s="43">
        <v>5</v>
      </c>
      <c r="G116" s="90">
        <f>F116+(I116-F116)/3</f>
        <v>6.666666666666667</v>
      </c>
      <c r="H116" s="90">
        <f>F116+(I116-F116)*2/3</f>
        <v>8.333333333333334</v>
      </c>
      <c r="I116" s="43">
        <v>10</v>
      </c>
      <c r="J116" s="90">
        <f>I116+(L116-I116)/3</f>
        <v>11.666666666666666</v>
      </c>
      <c r="K116" s="90">
        <f>I116+(L116-I116)*2/3</f>
        <v>13.333333333333334</v>
      </c>
      <c r="L116" s="43">
        <v>15</v>
      </c>
      <c r="M116" s="90">
        <f>L116+(O116-L116)/3</f>
        <v>16.666666666666668</v>
      </c>
      <c r="N116" s="90">
        <f>L116+(O116-L116)*2/3</f>
        <v>18.333333333333332</v>
      </c>
      <c r="O116" s="43">
        <v>20</v>
      </c>
    </row>
    <row r="117" spans="3:15" ht="12.75">
      <c r="C117" t="s">
        <v>187</v>
      </c>
      <c r="D117" s="89">
        <f>F117/3</f>
        <v>1.6666666666666667</v>
      </c>
      <c r="E117" s="89">
        <f>D117*2</f>
        <v>3.3333333333333335</v>
      </c>
      <c r="F117" s="43">
        <v>5</v>
      </c>
      <c r="G117" s="90">
        <f>F117+(I117-F117)/3</f>
        <v>6.666666666666667</v>
      </c>
      <c r="H117" s="90">
        <f>F117+(I117-F117)*2/3</f>
        <v>8.333333333333334</v>
      </c>
      <c r="I117" s="43">
        <v>10</v>
      </c>
      <c r="J117" s="90">
        <f>I117+(L117-I117)/3</f>
        <v>11.666666666666666</v>
      </c>
      <c r="K117" s="90">
        <f>I117+(L117-I117)*2/3</f>
        <v>13.333333333333334</v>
      </c>
      <c r="L117" s="43">
        <v>15</v>
      </c>
      <c r="M117" s="90">
        <f>L117+(O117-L117)/3</f>
        <v>16.666666666666668</v>
      </c>
      <c r="N117" s="90">
        <f>L117+(O117-L117)*2/3</f>
        <v>18.333333333333332</v>
      </c>
      <c r="O117" s="43">
        <v>20</v>
      </c>
    </row>
    <row r="121" spans="1:7" ht="12.75">
      <c r="A121">
        <v>7</v>
      </c>
      <c r="B121" t="s">
        <v>144</v>
      </c>
      <c r="D121" t="s">
        <v>85</v>
      </c>
      <c r="E121">
        <v>0</v>
      </c>
      <c r="G121" t="s">
        <v>122</v>
      </c>
    </row>
    <row r="122" spans="3:5" ht="12.75">
      <c r="C122">
        <v>0.001145</v>
      </c>
      <c r="D122" t="s">
        <v>141</v>
      </c>
      <c r="E122" t="s">
        <v>142</v>
      </c>
    </row>
    <row r="123" spans="3:8" ht="12.75">
      <c r="C123" t="s">
        <v>123</v>
      </c>
      <c r="D123">
        <v>0</v>
      </c>
      <c r="E123">
        <f>(D124*C122)</f>
        <v>3.271265</v>
      </c>
      <c r="G123">
        <v>0</v>
      </c>
      <c r="H123">
        <f>(E123)</f>
        <v>3.271265</v>
      </c>
    </row>
    <row r="124" spans="3:8" ht="12.75">
      <c r="C124" t="s">
        <v>139</v>
      </c>
      <c r="D124">
        <v>2857</v>
      </c>
      <c r="E124">
        <v>0</v>
      </c>
      <c r="G124">
        <v>2857</v>
      </c>
      <c r="H124">
        <v>0</v>
      </c>
    </row>
    <row r="125" spans="3:8" ht="12.75">
      <c r="C125" t="s">
        <v>140</v>
      </c>
      <c r="D125">
        <v>3157</v>
      </c>
      <c r="E125">
        <v>0</v>
      </c>
      <c r="G125">
        <v>3157</v>
      </c>
      <c r="H125">
        <v>0</v>
      </c>
    </row>
    <row r="126" spans="3:8" ht="12.75">
      <c r="C126" t="s">
        <v>125</v>
      </c>
      <c r="D126">
        <v>6000</v>
      </c>
      <c r="E126">
        <f>(D125-D126)*C122</f>
        <v>-3.255235</v>
      </c>
      <c r="G126">
        <v>6000</v>
      </c>
      <c r="H126">
        <f>(E126)</f>
        <v>-3.255235</v>
      </c>
    </row>
    <row r="127" ht="13.5" thickBot="1"/>
    <row r="128" spans="2:9" ht="34.5" thickBot="1">
      <c r="B128" s="11" t="s">
        <v>40</v>
      </c>
      <c r="C128" s="14" t="s">
        <v>84</v>
      </c>
      <c r="D128" s="14" t="s">
        <v>96</v>
      </c>
      <c r="E128" s="22" t="s">
        <v>22</v>
      </c>
      <c r="F128" s="14" t="s">
        <v>230</v>
      </c>
      <c r="G128" s="14" t="s">
        <v>179</v>
      </c>
      <c r="H128" s="14" t="s">
        <v>231</v>
      </c>
      <c r="I128" s="29" t="s">
        <v>95</v>
      </c>
    </row>
    <row r="129" spans="2:12" ht="12.75">
      <c r="B129" s="10">
        <v>40634</v>
      </c>
      <c r="C129" s="46">
        <f>('Greenhouse Gas Emissions'!C62)</f>
        <v>145.078292017228</v>
      </c>
      <c r="D129" s="3">
        <f>C129</f>
        <v>145.078292017228</v>
      </c>
      <c r="E129" s="23">
        <f>E$141*$I129/365</f>
        <v>198.93031046240358</v>
      </c>
      <c r="F129" s="23">
        <f>F$141*$I129/365</f>
        <v>35.891607345815615</v>
      </c>
      <c r="G129" s="23">
        <f>G$141*$I129/365</f>
        <v>24.65753424657534</v>
      </c>
      <c r="H129" s="23">
        <f>H$141*$I129/365</f>
        <v>35.891607345815615</v>
      </c>
      <c r="I129" s="27">
        <v>30</v>
      </c>
      <c r="J129" s="86"/>
      <c r="K129" s="86"/>
      <c r="L129" s="86"/>
    </row>
    <row r="130" spans="2:12" ht="12.75">
      <c r="B130" s="10">
        <v>40664</v>
      </c>
      <c r="C130" s="46">
        <f>('Greenhouse Gas Emissions'!C63)</f>
        <v>185.10958170000004</v>
      </c>
      <c r="D130" s="3">
        <f>D129+C130</f>
        <v>330.18787371722806</v>
      </c>
      <c r="E130" s="23">
        <f>E129+E$141*$I130/365</f>
        <v>404.49163127355393</v>
      </c>
      <c r="F130" s="23">
        <f>F129+F$141*$I130/365</f>
        <v>72.97960160315841</v>
      </c>
      <c r="G130" s="23">
        <f>G129+G$141*$I130/365</f>
        <v>50.13698630136986</v>
      </c>
      <c r="H130" s="23">
        <f>H129+H$141*$I130/365</f>
        <v>72.97960160315841</v>
      </c>
      <c r="I130" s="25">
        <v>31</v>
      </c>
      <c r="J130" s="86"/>
      <c r="K130" s="86"/>
      <c r="L130" s="86"/>
    </row>
    <row r="131" spans="2:12" ht="12.75">
      <c r="B131" s="10">
        <v>40695</v>
      </c>
      <c r="C131" s="46">
        <f>('Greenhouse Gas Emissions'!C64)</f>
        <v>216.2280028096</v>
      </c>
      <c r="D131" s="3">
        <f aca="true" t="shared" si="8" ref="D131:D140">D130+C131</f>
        <v>546.415876526828</v>
      </c>
      <c r="E131" s="23">
        <f aca="true" t="shared" si="9" ref="E131:E140">E130+E$141*$I131/365</f>
        <v>603.4219417359575</v>
      </c>
      <c r="F131" s="23">
        <f aca="true" t="shared" si="10" ref="F131:F140">F130+F$141*$I131/365</f>
        <v>108.87120894897403</v>
      </c>
      <c r="G131" s="23">
        <f aca="true" t="shared" si="11" ref="G131:G140">G130+G$141*$I131/365</f>
        <v>74.7945205479452</v>
      </c>
      <c r="H131" s="23">
        <f aca="true" t="shared" si="12" ref="H131:H140">H130+H$141*$I131/365</f>
        <v>108.87120894897403</v>
      </c>
      <c r="I131" s="25">
        <v>30</v>
      </c>
      <c r="J131" s="86"/>
      <c r="K131" s="86"/>
      <c r="L131" s="86"/>
    </row>
    <row r="132" spans="2:12" ht="12.75">
      <c r="B132" s="10">
        <v>40725</v>
      </c>
      <c r="C132" s="46">
        <f>('Greenhouse Gas Emissions'!C65)</f>
        <v>0</v>
      </c>
      <c r="D132" s="3">
        <f t="shared" si="8"/>
        <v>546.415876526828</v>
      </c>
      <c r="E132" s="23">
        <f t="shared" si="9"/>
        <v>808.9832625471079</v>
      </c>
      <c r="F132" s="23">
        <f t="shared" si="10"/>
        <v>145.95920320631683</v>
      </c>
      <c r="G132" s="23">
        <f t="shared" si="11"/>
        <v>100.27397260273972</v>
      </c>
      <c r="H132" s="23">
        <f t="shared" si="12"/>
        <v>145.95920320631683</v>
      </c>
      <c r="I132" s="25">
        <v>31</v>
      </c>
      <c r="J132" s="86"/>
      <c r="K132" s="86"/>
      <c r="L132" s="86"/>
    </row>
    <row r="133" spans="2:12" ht="12.75">
      <c r="B133" s="10">
        <v>40756</v>
      </c>
      <c r="C133" s="46">
        <f>('Greenhouse Gas Emissions'!C66)</f>
        <v>0</v>
      </c>
      <c r="D133" s="3">
        <f t="shared" si="8"/>
        <v>546.415876526828</v>
      </c>
      <c r="E133" s="23">
        <f t="shared" si="9"/>
        <v>1014.5445833582583</v>
      </c>
      <c r="F133" s="23">
        <f t="shared" si="10"/>
        <v>183.04719746365964</v>
      </c>
      <c r="G133" s="23">
        <f t="shared" si="11"/>
        <v>125.75342465753424</v>
      </c>
      <c r="H133" s="23">
        <f t="shared" si="12"/>
        <v>183.04719746365964</v>
      </c>
      <c r="I133" s="25">
        <v>31</v>
      </c>
      <c r="J133" s="86"/>
      <c r="K133" s="86"/>
      <c r="L133" s="86"/>
    </row>
    <row r="134" spans="2:12" ht="12.75">
      <c r="B134" s="10">
        <v>40787</v>
      </c>
      <c r="C134" s="46">
        <f>('Greenhouse Gas Emissions'!C67)</f>
        <v>0</v>
      </c>
      <c r="D134" s="3">
        <f t="shared" si="8"/>
        <v>546.415876526828</v>
      </c>
      <c r="E134" s="23">
        <f t="shared" si="9"/>
        <v>1213.474893820662</v>
      </c>
      <c r="F134" s="23">
        <f t="shared" si="10"/>
        <v>218.93880480947524</v>
      </c>
      <c r="G134" s="23">
        <f t="shared" si="11"/>
        <v>150.41095890410958</v>
      </c>
      <c r="H134" s="23">
        <f t="shared" si="12"/>
        <v>218.93880480947524</v>
      </c>
      <c r="I134" s="25">
        <v>30</v>
      </c>
      <c r="J134" s="86"/>
      <c r="K134" s="86"/>
      <c r="L134" s="86"/>
    </row>
    <row r="135" spans="2:12" ht="12.75">
      <c r="B135" s="10">
        <v>40817</v>
      </c>
      <c r="C135" s="46">
        <f>('Greenhouse Gas Emissions'!C68)</f>
        <v>0</v>
      </c>
      <c r="D135" s="3">
        <f t="shared" si="8"/>
        <v>546.415876526828</v>
      </c>
      <c r="E135" s="23">
        <f t="shared" si="9"/>
        <v>1419.0362146318123</v>
      </c>
      <c r="F135" s="23">
        <f t="shared" si="10"/>
        <v>256.02679906681806</v>
      </c>
      <c r="G135" s="23">
        <f t="shared" si="11"/>
        <v>175.8904109589041</v>
      </c>
      <c r="H135" s="23">
        <f t="shared" si="12"/>
        <v>256.02679906681806</v>
      </c>
      <c r="I135" s="25">
        <v>31</v>
      </c>
      <c r="J135" s="86"/>
      <c r="K135" s="86"/>
      <c r="L135" s="86"/>
    </row>
    <row r="136" spans="2:12" ht="12.75">
      <c r="B136" s="10">
        <v>40848</v>
      </c>
      <c r="C136" s="46">
        <f>('Greenhouse Gas Emissions'!C69)</f>
        <v>0</v>
      </c>
      <c r="D136" s="3">
        <f t="shared" si="8"/>
        <v>546.415876526828</v>
      </c>
      <c r="E136" s="23">
        <f t="shared" si="9"/>
        <v>1617.966525094216</v>
      </c>
      <c r="F136" s="23">
        <f t="shared" si="10"/>
        <v>291.91840641263366</v>
      </c>
      <c r="G136" s="23">
        <f t="shared" si="11"/>
        <v>200.54794520547946</v>
      </c>
      <c r="H136" s="23">
        <f t="shared" si="12"/>
        <v>291.91840641263366</v>
      </c>
      <c r="I136" s="25">
        <v>30</v>
      </c>
      <c r="J136" s="86"/>
      <c r="K136" s="86"/>
      <c r="L136" s="86"/>
    </row>
    <row r="137" spans="2:12" ht="12.75">
      <c r="B137" s="10">
        <v>40878</v>
      </c>
      <c r="C137" s="46">
        <f>('Greenhouse Gas Emissions'!C70)</f>
        <v>0</v>
      </c>
      <c r="D137" s="3">
        <f t="shared" si="8"/>
        <v>546.415876526828</v>
      </c>
      <c r="E137" s="23">
        <f t="shared" si="9"/>
        <v>1823.5278459053663</v>
      </c>
      <c r="F137" s="23">
        <f t="shared" si="10"/>
        <v>329.0064006699765</v>
      </c>
      <c r="G137" s="23">
        <f t="shared" si="11"/>
        <v>226.02739726027397</v>
      </c>
      <c r="H137" s="23">
        <f t="shared" si="12"/>
        <v>329.0064006699765</v>
      </c>
      <c r="I137" s="25">
        <v>31</v>
      </c>
      <c r="J137" s="86"/>
      <c r="K137" s="86"/>
      <c r="L137" s="86"/>
    </row>
    <row r="138" spans="2:12" ht="12.75">
      <c r="B138" s="10">
        <v>40909</v>
      </c>
      <c r="C138" s="46">
        <f>('Greenhouse Gas Emissions'!C71)</f>
        <v>0</v>
      </c>
      <c r="D138" s="3">
        <f t="shared" si="8"/>
        <v>546.415876526828</v>
      </c>
      <c r="E138" s="23">
        <f t="shared" si="9"/>
        <v>2029.0891667165167</v>
      </c>
      <c r="F138" s="23">
        <f t="shared" si="10"/>
        <v>366.0943949273193</v>
      </c>
      <c r="G138" s="23">
        <f t="shared" si="11"/>
        <v>251.5068493150685</v>
      </c>
      <c r="H138" s="23">
        <f t="shared" si="12"/>
        <v>366.0943949273193</v>
      </c>
      <c r="I138" s="25">
        <v>31</v>
      </c>
      <c r="J138" s="86"/>
      <c r="K138" s="86"/>
      <c r="L138" s="86"/>
    </row>
    <row r="139" spans="2:12" ht="12.75">
      <c r="B139" s="10">
        <v>40940</v>
      </c>
      <c r="C139" s="46">
        <f>('Greenhouse Gas Emissions'!C72)</f>
        <v>0</v>
      </c>
      <c r="D139" s="3">
        <f t="shared" si="8"/>
        <v>546.415876526828</v>
      </c>
      <c r="E139" s="23">
        <f t="shared" si="9"/>
        <v>2221.3884668301735</v>
      </c>
      <c r="F139" s="23">
        <f>F138+F$141*$I139/365</f>
        <v>400.78961536160773</v>
      </c>
      <c r="G139" s="23">
        <f t="shared" si="11"/>
        <v>275.3424657534247</v>
      </c>
      <c r="H139" s="23">
        <f t="shared" si="12"/>
        <v>400.78961536160773</v>
      </c>
      <c r="I139" s="25">
        <v>29</v>
      </c>
      <c r="J139" s="86"/>
      <c r="K139" s="86"/>
      <c r="L139" s="86"/>
    </row>
    <row r="140" spans="2:12" ht="13.5" thickBot="1">
      <c r="B140" s="10">
        <v>40969</v>
      </c>
      <c r="C140" s="46">
        <f>('Greenhouse Gas Emissions'!C73)</f>
        <v>0</v>
      </c>
      <c r="D140" s="3">
        <f t="shared" si="8"/>
        <v>546.415876526828</v>
      </c>
      <c r="E140" s="23">
        <f t="shared" si="9"/>
        <v>2426.949787641324</v>
      </c>
      <c r="F140" s="23">
        <f t="shared" si="10"/>
        <v>437.87760961895054</v>
      </c>
      <c r="G140" s="23">
        <f t="shared" si="11"/>
        <v>300.8219178082192</v>
      </c>
      <c r="H140" s="23">
        <f t="shared" si="12"/>
        <v>437.87760961895054</v>
      </c>
      <c r="I140" s="28">
        <v>31</v>
      </c>
      <c r="J140" s="86"/>
      <c r="K140" s="86"/>
      <c r="L140" s="86"/>
    </row>
    <row r="141" spans="2:9" ht="13.5" thickBot="1">
      <c r="B141" s="5" t="s">
        <v>83</v>
      </c>
      <c r="C141" s="15">
        <f>SUM(C129:C140)</f>
        <v>546.415876526828</v>
      </c>
      <c r="D141" s="15"/>
      <c r="E141" s="24">
        <f>D124-500000/1145</f>
        <v>2420.3187772925767</v>
      </c>
      <c r="F141" s="15">
        <f>D124-E141</f>
        <v>436.68122270742333</v>
      </c>
      <c r="G141" s="15">
        <f>D125-F141-E141</f>
        <v>300</v>
      </c>
      <c r="H141" s="15">
        <f>F141</f>
        <v>436.68122270742333</v>
      </c>
      <c r="I141" s="26"/>
    </row>
    <row r="145" spans="1:16" ht="12.75">
      <c r="A145">
        <v>8</v>
      </c>
      <c r="B145" t="s">
        <v>143</v>
      </c>
      <c r="D145" t="s">
        <v>85</v>
      </c>
      <c r="E145">
        <v>0</v>
      </c>
      <c r="G145" t="s">
        <v>122</v>
      </c>
      <c r="P145" t="s">
        <v>131</v>
      </c>
    </row>
    <row r="146" spans="5:17" ht="12.75">
      <c r="E146" t="s">
        <v>126</v>
      </c>
      <c r="G146">
        <v>0</v>
      </c>
      <c r="H146">
        <f>E149</f>
        <v>5</v>
      </c>
      <c r="P146">
        <v>2862</v>
      </c>
      <c r="Q146">
        <v>0</v>
      </c>
    </row>
    <row r="147" spans="3:8" ht="12.75">
      <c r="C147" t="s">
        <v>125</v>
      </c>
      <c r="E147">
        <v>0</v>
      </c>
      <c r="G147">
        <f>D149</f>
        <v>1790.4183454779254</v>
      </c>
      <c r="H147">
        <f>E149</f>
        <v>5</v>
      </c>
    </row>
    <row r="148" spans="3:8" ht="12.75">
      <c r="C148" t="s">
        <v>124</v>
      </c>
      <c r="D148">
        <v>2862</v>
      </c>
      <c r="E148">
        <v>0</v>
      </c>
      <c r="G148">
        <f>D148</f>
        <v>2862</v>
      </c>
      <c r="H148">
        <f>E148</f>
        <v>0</v>
      </c>
    </row>
    <row r="149" spans="3:8" ht="12.75">
      <c r="C149" t="s">
        <v>123</v>
      </c>
      <c r="D149">
        <f>D148-(E149/0.004666)</f>
        <v>1790.4183454779254</v>
      </c>
      <c r="E149">
        <v>5</v>
      </c>
      <c r="G149">
        <v>4000</v>
      </c>
      <c r="H149">
        <f>E148</f>
        <v>0</v>
      </c>
    </row>
    <row r="150" ht="13.5" thickBot="1"/>
    <row r="151" spans="2:11" ht="34.5" thickBot="1">
      <c r="B151" s="110" t="s">
        <v>40</v>
      </c>
      <c r="C151" s="126" t="s">
        <v>163</v>
      </c>
      <c r="D151" s="126" t="s">
        <v>180</v>
      </c>
      <c r="E151" s="126" t="s">
        <v>164</v>
      </c>
      <c r="F151" s="126" t="s">
        <v>186</v>
      </c>
      <c r="G151" s="126" t="s">
        <v>6</v>
      </c>
      <c r="H151" s="126" t="s">
        <v>7</v>
      </c>
      <c r="I151" s="111" t="s">
        <v>95</v>
      </c>
      <c r="J151" s="126"/>
      <c r="K151" s="112" t="s">
        <v>221</v>
      </c>
    </row>
    <row r="152" spans="2:14" ht="12.75">
      <c r="B152" s="105">
        <v>40269</v>
      </c>
      <c r="C152" s="106">
        <f>414755451/1000000</f>
        <v>414.755451</v>
      </c>
      <c r="D152" s="106">
        <f>C152</f>
        <v>414.755451</v>
      </c>
      <c r="E152" s="106">
        <v>235.23287671232876</v>
      </c>
      <c r="F152" s="106">
        <f>E152*$D$149/$E$164</f>
        <v>147.15767223106235</v>
      </c>
      <c r="G152" s="106">
        <f>E152-F152</f>
        <v>88.07520448126641</v>
      </c>
      <c r="H152" s="106">
        <f>F152</f>
        <v>147.15767223106235</v>
      </c>
      <c r="I152" s="107">
        <v>30</v>
      </c>
      <c r="J152" s="108">
        <f>F152-H152</f>
        <v>0</v>
      </c>
      <c r="K152" s="109">
        <f>E152</f>
        <v>235.23287671232876</v>
      </c>
      <c r="N152">
        <v>147.15767223106235</v>
      </c>
    </row>
    <row r="153" spans="2:14" ht="12.75">
      <c r="B153" s="105">
        <v>40299</v>
      </c>
      <c r="C153" s="94">
        <f>440006033/1000000</f>
        <v>440.006033</v>
      </c>
      <c r="D153" s="94">
        <f>C153+D152</f>
        <v>854.761484</v>
      </c>
      <c r="E153" s="94">
        <v>243.07397260273973</v>
      </c>
      <c r="F153" s="106">
        <f aca="true" t="shared" si="13" ref="F153:F163">E153*$D$149/$E$164</f>
        <v>152.06292797209778</v>
      </c>
      <c r="G153" s="94">
        <f>G152+E153-F153</f>
        <v>179.0862491119084</v>
      </c>
      <c r="H153" s="94">
        <f>F153+H152</f>
        <v>299.22060020316013</v>
      </c>
      <c r="I153" s="95">
        <v>31</v>
      </c>
      <c r="J153" s="96">
        <f aca="true" t="shared" si="14" ref="J153:J163">F153-H153</f>
        <v>-147.15767223106235</v>
      </c>
      <c r="K153" s="97">
        <f>K152+E153</f>
        <v>478.30684931506846</v>
      </c>
      <c r="N153">
        <v>299.22060020316013</v>
      </c>
    </row>
    <row r="154" spans="2:14" ht="12.75">
      <c r="B154" s="105">
        <v>40330</v>
      </c>
      <c r="C154" s="94">
        <f>402660045/1000000</f>
        <v>402.660045</v>
      </c>
      <c r="D154" s="94">
        <f aca="true" t="shared" si="15" ref="D154:D163">C154+D153</f>
        <v>1257.421529</v>
      </c>
      <c r="E154" s="94">
        <v>235.23287671232876</v>
      </c>
      <c r="F154" s="106">
        <f t="shared" si="13"/>
        <v>147.15767223106235</v>
      </c>
      <c r="G154" s="94">
        <f aca="true" t="shared" si="16" ref="G154:G163">G153+E154-F154</f>
        <v>267.1614535931748</v>
      </c>
      <c r="H154" s="94">
        <f aca="true" t="shared" si="17" ref="H154:H163">F154+H153</f>
        <v>446.3782724342225</v>
      </c>
      <c r="I154" s="95">
        <v>30</v>
      </c>
      <c r="J154" s="96">
        <f t="shared" si="14"/>
        <v>-299.22060020316013</v>
      </c>
      <c r="K154" s="97">
        <f aca="true" t="shared" si="18" ref="K154:K163">K153+E154</f>
        <v>713.5397260273973</v>
      </c>
      <c r="N154">
        <v>446.3782724342225</v>
      </c>
    </row>
    <row r="155" spans="2:14" ht="12.75">
      <c r="B155" s="105">
        <v>40360</v>
      </c>
      <c r="C155" s="94">
        <v>383</v>
      </c>
      <c r="D155" s="94">
        <f t="shared" si="15"/>
        <v>1640.421529</v>
      </c>
      <c r="E155" s="94">
        <v>243.07397260273973</v>
      </c>
      <c r="F155" s="106">
        <f t="shared" si="13"/>
        <v>152.06292797209778</v>
      </c>
      <c r="G155" s="94">
        <f t="shared" si="16"/>
        <v>358.1724982238168</v>
      </c>
      <c r="H155" s="94">
        <f t="shared" si="17"/>
        <v>598.4412004063203</v>
      </c>
      <c r="I155" s="95">
        <v>31</v>
      </c>
      <c r="J155" s="96">
        <f t="shared" si="14"/>
        <v>-446.3782724342225</v>
      </c>
      <c r="K155" s="97">
        <f t="shared" si="18"/>
        <v>956.6136986301369</v>
      </c>
      <c r="N155">
        <v>598.4412004063203</v>
      </c>
    </row>
    <row r="156" spans="2:14" ht="12.75">
      <c r="B156" s="105">
        <v>40391</v>
      </c>
      <c r="C156" s="94">
        <f>441903488/1000000</f>
        <v>441.903488</v>
      </c>
      <c r="D156" s="94">
        <f t="shared" si="15"/>
        <v>2082.325017</v>
      </c>
      <c r="E156" s="94">
        <v>243.07397260273973</v>
      </c>
      <c r="F156" s="106">
        <f t="shared" si="13"/>
        <v>152.06292797209778</v>
      </c>
      <c r="G156" s="94">
        <f t="shared" si="16"/>
        <v>449.1835428544588</v>
      </c>
      <c r="H156" s="94">
        <f t="shared" si="17"/>
        <v>750.504128378418</v>
      </c>
      <c r="I156" s="95">
        <v>31</v>
      </c>
      <c r="J156" s="96">
        <f t="shared" si="14"/>
        <v>-598.4412004063203</v>
      </c>
      <c r="K156" s="97">
        <f t="shared" si="18"/>
        <v>1199.6876712328767</v>
      </c>
      <c r="N156">
        <v>750.504128378418</v>
      </c>
    </row>
    <row r="157" spans="2:14" ht="12.75">
      <c r="B157" s="105">
        <v>40422</v>
      </c>
      <c r="C157" s="94">
        <v>375</v>
      </c>
      <c r="D157" s="94">
        <f t="shared" si="15"/>
        <v>2457.325017</v>
      </c>
      <c r="E157" s="94">
        <v>235.23287671232876</v>
      </c>
      <c r="F157" s="106">
        <f t="shared" si="13"/>
        <v>147.15767223106235</v>
      </c>
      <c r="G157" s="94">
        <f t="shared" si="16"/>
        <v>537.2587473357253</v>
      </c>
      <c r="H157" s="94">
        <f t="shared" si="17"/>
        <v>897.6618006094805</v>
      </c>
      <c r="I157" s="95">
        <v>30</v>
      </c>
      <c r="J157" s="96">
        <f t="shared" si="14"/>
        <v>-750.504128378418</v>
      </c>
      <c r="K157" s="97">
        <f t="shared" si="18"/>
        <v>1434.9205479452055</v>
      </c>
      <c r="N157">
        <v>897.6618006094805</v>
      </c>
    </row>
    <row r="158" spans="2:14" ht="12.75">
      <c r="B158" s="105">
        <v>40452</v>
      </c>
      <c r="C158" s="94">
        <v>676</v>
      </c>
      <c r="D158" s="94">
        <f t="shared" si="15"/>
        <v>3133.325017</v>
      </c>
      <c r="E158" s="94">
        <v>243.07397260273973</v>
      </c>
      <c r="F158" s="106">
        <f t="shared" si="13"/>
        <v>152.06292797209778</v>
      </c>
      <c r="G158" s="94">
        <f t="shared" si="16"/>
        <v>628.2697919663673</v>
      </c>
      <c r="H158" s="94">
        <f t="shared" si="17"/>
        <v>1049.7247285815783</v>
      </c>
      <c r="I158" s="95">
        <v>31</v>
      </c>
      <c r="J158" s="96">
        <f t="shared" si="14"/>
        <v>-897.6618006094806</v>
      </c>
      <c r="K158" s="97">
        <f t="shared" si="18"/>
        <v>1677.9945205479453</v>
      </c>
      <c r="N158">
        <v>1049.7247285815783</v>
      </c>
    </row>
    <row r="159" spans="2:14" ht="12.75">
      <c r="B159" s="105">
        <v>40483</v>
      </c>
      <c r="C159" s="94">
        <v>739</v>
      </c>
      <c r="D159" s="94">
        <f t="shared" si="15"/>
        <v>3872.325017</v>
      </c>
      <c r="E159" s="94">
        <v>235.23287671232876</v>
      </c>
      <c r="F159" s="106">
        <f t="shared" si="13"/>
        <v>147.15767223106235</v>
      </c>
      <c r="G159" s="94">
        <f t="shared" si="16"/>
        <v>716.3449964476338</v>
      </c>
      <c r="H159" s="94">
        <f t="shared" si="17"/>
        <v>1196.8824008126408</v>
      </c>
      <c r="I159" s="95">
        <v>30</v>
      </c>
      <c r="J159" s="96">
        <f t="shared" si="14"/>
        <v>-1049.7247285815783</v>
      </c>
      <c r="K159" s="97">
        <f t="shared" si="18"/>
        <v>1913.227397260274</v>
      </c>
      <c r="N159">
        <v>1196.8824008126408</v>
      </c>
    </row>
    <row r="160" spans="2:14" ht="12.75">
      <c r="B160" s="105">
        <v>40513</v>
      </c>
      <c r="C160" s="94">
        <v>765</v>
      </c>
      <c r="D160" s="94">
        <f t="shared" si="15"/>
        <v>4637.325017</v>
      </c>
      <c r="E160" s="94">
        <v>243.07397260273973</v>
      </c>
      <c r="F160" s="106">
        <f t="shared" si="13"/>
        <v>152.06292797209778</v>
      </c>
      <c r="G160" s="94">
        <f t="shared" si="16"/>
        <v>807.3560410782758</v>
      </c>
      <c r="H160" s="94">
        <f t="shared" si="17"/>
        <v>1348.9453287847386</v>
      </c>
      <c r="I160" s="95">
        <v>31</v>
      </c>
      <c r="J160" s="96">
        <f t="shared" si="14"/>
        <v>-1196.8824008126408</v>
      </c>
      <c r="K160" s="97">
        <f t="shared" si="18"/>
        <v>2156.301369863014</v>
      </c>
      <c r="N160">
        <v>1348.9453287847386</v>
      </c>
    </row>
    <row r="161" spans="2:14" ht="12.75">
      <c r="B161" s="105">
        <v>40544</v>
      </c>
      <c r="C161" s="94">
        <f>723947917/1000000</f>
        <v>723.947917</v>
      </c>
      <c r="D161" s="94">
        <f t="shared" si="15"/>
        <v>5361.2729340000005</v>
      </c>
      <c r="E161" s="94">
        <v>243.07397260273973</v>
      </c>
      <c r="F161" s="106">
        <f t="shared" si="13"/>
        <v>152.06292797209778</v>
      </c>
      <c r="G161" s="94">
        <f t="shared" si="16"/>
        <v>898.3670857089177</v>
      </c>
      <c r="H161" s="94">
        <f t="shared" si="17"/>
        <v>1501.0082567568365</v>
      </c>
      <c r="I161" s="95">
        <v>31</v>
      </c>
      <c r="J161" s="96">
        <f t="shared" si="14"/>
        <v>-1348.9453287847386</v>
      </c>
      <c r="K161" s="97">
        <f t="shared" si="18"/>
        <v>2399.3753424657534</v>
      </c>
      <c r="N161">
        <v>1501.0082567568365</v>
      </c>
    </row>
    <row r="162" spans="2:14" ht="12.75">
      <c r="B162" s="105">
        <v>40575</v>
      </c>
      <c r="C162" s="94">
        <f>1104929520/1000000</f>
        <v>1104.92952</v>
      </c>
      <c r="D162" s="94">
        <f t="shared" si="15"/>
        <v>6466.202454</v>
      </c>
      <c r="E162" s="94">
        <v>219.55068493150685</v>
      </c>
      <c r="F162" s="106">
        <f t="shared" si="13"/>
        <v>137.34716074899154</v>
      </c>
      <c r="G162" s="94">
        <f t="shared" si="16"/>
        <v>980.570609891433</v>
      </c>
      <c r="H162" s="94">
        <f t="shared" si="17"/>
        <v>1638.355417505828</v>
      </c>
      <c r="I162" s="95">
        <v>28</v>
      </c>
      <c r="J162" s="96">
        <f t="shared" si="14"/>
        <v>-1501.0082567568365</v>
      </c>
      <c r="K162" s="97">
        <f t="shared" si="18"/>
        <v>2618.9260273972604</v>
      </c>
      <c r="N162">
        <v>1638.355417505828</v>
      </c>
    </row>
    <row r="163" spans="2:14" ht="13.5" thickBot="1">
      <c r="B163" s="105">
        <v>40603</v>
      </c>
      <c r="C163" s="47">
        <f>1226827697/1000000</f>
        <v>1226.827697</v>
      </c>
      <c r="D163" s="47">
        <f t="shared" si="15"/>
        <v>7693.030151</v>
      </c>
      <c r="E163" s="47">
        <v>243.07397260273973</v>
      </c>
      <c r="F163" s="106">
        <f t="shared" si="13"/>
        <v>152.06292797209778</v>
      </c>
      <c r="G163" s="94">
        <f t="shared" si="16"/>
        <v>1071.581654522075</v>
      </c>
      <c r="H163" s="94">
        <f t="shared" si="17"/>
        <v>1790.4183454779259</v>
      </c>
      <c r="I163" s="98">
        <v>31</v>
      </c>
      <c r="J163" s="99">
        <f t="shared" si="14"/>
        <v>-1638.355417505828</v>
      </c>
      <c r="K163" s="100">
        <f t="shared" si="18"/>
        <v>2862</v>
      </c>
      <c r="N163">
        <v>1790.4183454779259</v>
      </c>
    </row>
    <row r="164" spans="2:11" ht="13.5" thickBot="1">
      <c r="B164" s="5" t="s">
        <v>83</v>
      </c>
      <c r="C164" s="48">
        <f>SUM(C152:C163)</f>
        <v>7693.030151</v>
      </c>
      <c r="D164" s="48"/>
      <c r="E164" s="48">
        <f>SUM(E152:E163)</f>
        <v>2862</v>
      </c>
      <c r="F164" s="48"/>
      <c r="G164" s="101"/>
      <c r="H164" s="101"/>
      <c r="I164" s="102">
        <v>365</v>
      </c>
      <c r="J164" s="103"/>
      <c r="K164" s="104"/>
    </row>
  </sheetData>
  <mergeCells count="32">
    <mergeCell ref="GL47:GL49"/>
    <mergeCell ref="HB47:HB49"/>
    <mergeCell ref="HR47:HR49"/>
    <mergeCell ref="IH47:IH49"/>
    <mergeCell ref="DZ47:DZ49"/>
    <mergeCell ref="EP47:EP49"/>
    <mergeCell ref="FF47:FF49"/>
    <mergeCell ref="FV47:FV49"/>
    <mergeCell ref="BN47:BN49"/>
    <mergeCell ref="CD47:CD49"/>
    <mergeCell ref="CT47:CT49"/>
    <mergeCell ref="DJ47:DJ49"/>
    <mergeCell ref="R47:R49"/>
    <mergeCell ref="AH47:AH49"/>
    <mergeCell ref="AX47:AX49"/>
    <mergeCell ref="B47:B49"/>
    <mergeCell ref="GL44:GL46"/>
    <mergeCell ref="HB44:HB46"/>
    <mergeCell ref="HR44:HR46"/>
    <mergeCell ref="IH44:IH46"/>
    <mergeCell ref="DZ44:DZ46"/>
    <mergeCell ref="EP44:EP46"/>
    <mergeCell ref="FF44:FF46"/>
    <mergeCell ref="FV44:FV46"/>
    <mergeCell ref="BN44:BN46"/>
    <mergeCell ref="CD44:CD46"/>
    <mergeCell ref="CT44:CT46"/>
    <mergeCell ref="DJ44:DJ46"/>
    <mergeCell ref="B44:B46"/>
    <mergeCell ref="R44:R46"/>
    <mergeCell ref="AH44:AH46"/>
    <mergeCell ref="AX44:AX46"/>
  </mergeCells>
  <printOptions/>
  <pageMargins left="0.75" right="0.75" top="1" bottom="1" header="0.5" footer="0.5"/>
  <pageSetup fitToHeight="1"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sheetPr>
    <pageSetUpPr fitToPage="1"/>
  </sheetPr>
  <dimension ref="B1:T144"/>
  <sheetViews>
    <sheetView workbookViewId="0" topLeftCell="A10">
      <selection activeCell="J4" sqref="J4"/>
    </sheetView>
  </sheetViews>
  <sheetFormatPr defaultColWidth="9.140625" defaultRowHeight="12.75"/>
  <cols>
    <col min="1" max="1" width="5.7109375" style="158" customWidth="1"/>
    <col min="2" max="2" width="11.57421875" style="158" customWidth="1"/>
    <col min="3" max="3" width="9.28125" style="158" customWidth="1"/>
    <col min="4" max="9" width="9.140625" style="158" customWidth="1"/>
    <col min="10" max="10" width="8.00390625" style="158" customWidth="1"/>
    <col min="11" max="11" width="3.57421875" style="164" customWidth="1"/>
    <col min="12" max="19" width="9.140625" style="158" customWidth="1"/>
    <col min="20" max="20" width="5.57421875" style="158" customWidth="1"/>
    <col min="21" max="21" width="3.8515625" style="158" customWidth="1"/>
    <col min="22" max="16384" width="9.140625" style="158" customWidth="1"/>
  </cols>
  <sheetData>
    <row r="1" spans="3:17" ht="4.5" customHeight="1">
      <c r="C1" s="159"/>
      <c r="D1" s="160"/>
      <c r="E1" s="160"/>
      <c r="F1" s="160"/>
      <c r="G1" s="161" t="s">
        <v>256</v>
      </c>
      <c r="H1" s="161"/>
      <c r="I1" s="161"/>
      <c r="J1" s="161"/>
      <c r="K1" s="161"/>
      <c r="L1" s="161"/>
      <c r="M1" s="161"/>
      <c r="N1" s="161"/>
      <c r="O1" s="161"/>
      <c r="P1" s="161"/>
      <c r="Q1" s="161"/>
    </row>
    <row r="2" spans="2:17" s="163" customFormat="1" ht="20.25">
      <c r="B2" s="162" t="s">
        <v>8</v>
      </c>
      <c r="C2" s="634"/>
      <c r="D2" s="634"/>
      <c r="E2" s="634"/>
      <c r="F2" s="634"/>
      <c r="G2" s="161"/>
      <c r="H2" s="161"/>
      <c r="I2" s="663" t="s">
        <v>256</v>
      </c>
      <c r="J2" s="663"/>
      <c r="K2" s="663"/>
      <c r="L2" s="663"/>
      <c r="M2" s="663"/>
      <c r="N2" s="663"/>
      <c r="O2" s="663"/>
      <c r="P2" s="663"/>
      <c r="Q2" s="663"/>
    </row>
    <row r="3" ht="6.75" customHeight="1"/>
    <row r="4" spans="2:12" ht="15">
      <c r="B4" s="165" t="s">
        <v>145</v>
      </c>
      <c r="L4" s="165" t="s">
        <v>138</v>
      </c>
    </row>
    <row r="5" ht="6.75" customHeight="1"/>
    <row r="6" ht="12.75"/>
    <row r="7" ht="12.75"/>
    <row r="8" ht="12.75"/>
    <row r="9" ht="12.75"/>
    <row r="10" ht="12.75"/>
    <row r="11" ht="12.75"/>
    <row r="12" ht="12.75"/>
    <row r="13" ht="12.75"/>
    <row r="14" ht="12.75"/>
    <row r="15" ht="12.75"/>
    <row r="16" ht="12.75"/>
    <row r="17" ht="12.75"/>
    <row r="18" ht="12.75"/>
    <row r="19" ht="12.75"/>
    <row r="20" ht="12.75"/>
    <row r="21" ht="12.75"/>
    <row r="22" spans="13:20" ht="5.25" customHeight="1">
      <c r="M22" s="166"/>
      <c r="N22" s="166"/>
      <c r="O22" s="166"/>
      <c r="P22" s="166"/>
      <c r="Q22" s="166"/>
      <c r="R22" s="166"/>
      <c r="S22" s="166"/>
      <c r="T22" s="166"/>
    </row>
    <row r="23" spans="2:20" ht="7.5" customHeight="1">
      <c r="B23" s="665" t="s">
        <v>292</v>
      </c>
      <c r="C23" s="665"/>
      <c r="D23" s="665"/>
      <c r="E23" s="665"/>
      <c r="F23" s="665"/>
      <c r="G23" s="665"/>
      <c r="H23" s="665"/>
      <c r="I23" s="665"/>
      <c r="J23" s="665"/>
      <c r="K23" s="167"/>
      <c r="L23" s="653" t="s">
        <v>15</v>
      </c>
      <c r="M23" s="653"/>
      <c r="N23" s="653"/>
      <c r="O23" s="653"/>
      <c r="P23" s="653"/>
      <c r="Q23" s="653"/>
      <c r="R23" s="653"/>
      <c r="S23" s="653"/>
      <c r="T23" s="653"/>
    </row>
    <row r="24" spans="2:20" ht="12.75" customHeight="1">
      <c r="B24" s="665"/>
      <c r="C24" s="665"/>
      <c r="D24" s="665"/>
      <c r="E24" s="665"/>
      <c r="F24" s="665"/>
      <c r="G24" s="665"/>
      <c r="H24" s="665"/>
      <c r="I24" s="665"/>
      <c r="J24" s="665"/>
      <c r="K24" s="167"/>
      <c r="L24" s="653"/>
      <c r="M24" s="653"/>
      <c r="N24" s="653"/>
      <c r="O24" s="653"/>
      <c r="P24" s="653"/>
      <c r="Q24" s="653"/>
      <c r="R24" s="653"/>
      <c r="S24" s="653"/>
      <c r="T24" s="653"/>
    </row>
    <row r="25" spans="2:20" ht="6.75" customHeight="1">
      <c r="B25" s="665"/>
      <c r="C25" s="665"/>
      <c r="D25" s="665"/>
      <c r="E25" s="665"/>
      <c r="F25" s="665"/>
      <c r="G25" s="665"/>
      <c r="H25" s="665"/>
      <c r="I25" s="665"/>
      <c r="J25" s="665"/>
      <c r="K25" s="167"/>
      <c r="L25" s="653"/>
      <c r="M25" s="653"/>
      <c r="N25" s="653"/>
      <c r="O25" s="653"/>
      <c r="P25" s="653"/>
      <c r="Q25" s="653"/>
      <c r="R25" s="653"/>
      <c r="S25" s="653"/>
      <c r="T25" s="653"/>
    </row>
    <row r="26" spans="2:20" ht="27.75" customHeight="1">
      <c r="B26" s="666"/>
      <c r="C26" s="666"/>
      <c r="D26" s="666"/>
      <c r="E26" s="666"/>
      <c r="F26" s="666"/>
      <c r="G26" s="666"/>
      <c r="H26" s="666"/>
      <c r="I26" s="666"/>
      <c r="J26" s="666"/>
      <c r="K26" s="168"/>
      <c r="L26" s="653"/>
      <c r="M26" s="653"/>
      <c r="N26" s="653"/>
      <c r="O26" s="653"/>
      <c r="P26" s="653"/>
      <c r="Q26" s="653"/>
      <c r="R26" s="653"/>
      <c r="S26" s="653"/>
      <c r="T26" s="653"/>
    </row>
    <row r="27" spans="12:20" ht="5.25" customHeight="1">
      <c r="L27" s="166"/>
      <c r="M27" s="166"/>
      <c r="N27" s="166"/>
      <c r="O27" s="166"/>
      <c r="P27" s="166"/>
      <c r="Q27" s="166"/>
      <c r="R27" s="166"/>
      <c r="S27" s="166"/>
      <c r="T27" s="166"/>
    </row>
    <row r="28" spans="2:12" ht="15">
      <c r="B28" s="165" t="s">
        <v>132</v>
      </c>
      <c r="L28" s="165" t="s">
        <v>130</v>
      </c>
    </row>
    <row r="29" ht="14.25" customHeight="1"/>
    <row r="30" ht="14.25" customHeight="1"/>
    <row r="31" ht="14.25" customHeight="1"/>
    <row r="46" ht="5.25" customHeight="1"/>
    <row r="47" spans="2:20" ht="6.75" customHeight="1">
      <c r="B47" s="664" t="s">
        <v>269</v>
      </c>
      <c r="C47" s="664"/>
      <c r="D47" s="664"/>
      <c r="E47" s="664"/>
      <c r="F47" s="664"/>
      <c r="G47" s="664"/>
      <c r="H47" s="664"/>
      <c r="I47" s="664"/>
      <c r="J47" s="664"/>
      <c r="K47" s="169"/>
      <c r="L47" s="653" t="s">
        <v>5</v>
      </c>
      <c r="M47" s="653"/>
      <c r="N47" s="653"/>
      <c r="O47" s="653"/>
      <c r="P47" s="653"/>
      <c r="Q47" s="653"/>
      <c r="R47" s="653"/>
      <c r="S47" s="653"/>
      <c r="T47" s="653"/>
    </row>
    <row r="48" spans="2:20" ht="12.75" customHeight="1">
      <c r="B48" s="664"/>
      <c r="C48" s="664"/>
      <c r="D48" s="664"/>
      <c r="E48" s="664"/>
      <c r="F48" s="664"/>
      <c r="G48" s="664"/>
      <c r="H48" s="664"/>
      <c r="I48" s="664"/>
      <c r="J48" s="664"/>
      <c r="K48" s="169"/>
      <c r="L48" s="653"/>
      <c r="M48" s="653"/>
      <c r="N48" s="653"/>
      <c r="O48" s="653"/>
      <c r="P48" s="653"/>
      <c r="Q48" s="653"/>
      <c r="R48" s="653"/>
      <c r="S48" s="653"/>
      <c r="T48" s="653"/>
    </row>
    <row r="49" spans="2:20" ht="8.25" customHeight="1">
      <c r="B49" s="664"/>
      <c r="C49" s="664"/>
      <c r="D49" s="664"/>
      <c r="E49" s="664"/>
      <c r="F49" s="664"/>
      <c r="G49" s="664"/>
      <c r="H49" s="664"/>
      <c r="I49" s="664"/>
      <c r="J49" s="664"/>
      <c r="K49" s="169"/>
      <c r="L49" s="653"/>
      <c r="M49" s="653"/>
      <c r="N49" s="653"/>
      <c r="O49" s="653"/>
      <c r="P49" s="653"/>
      <c r="Q49" s="653"/>
      <c r="R49" s="653"/>
      <c r="S49" s="653"/>
      <c r="T49" s="653"/>
    </row>
    <row r="50" spans="2:20" ht="13.5" customHeight="1">
      <c r="B50" s="664"/>
      <c r="C50" s="664"/>
      <c r="D50" s="664"/>
      <c r="E50" s="664"/>
      <c r="F50" s="664"/>
      <c r="G50" s="664"/>
      <c r="H50" s="664"/>
      <c r="I50" s="664"/>
      <c r="J50" s="664"/>
      <c r="K50" s="169"/>
      <c r="L50" s="653"/>
      <c r="M50" s="653"/>
      <c r="N50" s="653"/>
      <c r="O50" s="653"/>
      <c r="P50" s="653"/>
      <c r="Q50" s="653"/>
      <c r="R50" s="653"/>
      <c r="S50" s="653"/>
      <c r="T50" s="653"/>
    </row>
    <row r="51" spans="2:20" ht="5.25" customHeight="1">
      <c r="B51" s="664"/>
      <c r="C51" s="664"/>
      <c r="D51" s="664"/>
      <c r="E51" s="664"/>
      <c r="F51" s="664"/>
      <c r="G51" s="664"/>
      <c r="H51" s="664"/>
      <c r="I51" s="664"/>
      <c r="J51" s="664"/>
      <c r="K51" s="169"/>
      <c r="L51" s="653"/>
      <c r="M51" s="653"/>
      <c r="N51" s="653"/>
      <c r="O51" s="653"/>
      <c r="P51" s="653"/>
      <c r="Q51" s="653"/>
      <c r="R51" s="653"/>
      <c r="S51" s="653"/>
      <c r="T51" s="653"/>
    </row>
    <row r="52" spans="2:20" ht="5.25" customHeight="1">
      <c r="B52" s="664"/>
      <c r="C52" s="664"/>
      <c r="D52" s="664"/>
      <c r="E52" s="664"/>
      <c r="F52" s="664"/>
      <c r="G52" s="664"/>
      <c r="H52" s="664"/>
      <c r="I52" s="664"/>
      <c r="J52" s="664"/>
      <c r="K52" s="169"/>
      <c r="L52" s="653"/>
      <c r="M52" s="653"/>
      <c r="N52" s="653"/>
      <c r="O52" s="653"/>
      <c r="P52" s="653"/>
      <c r="Q52" s="653"/>
      <c r="R52" s="653"/>
      <c r="S52" s="653"/>
      <c r="T52" s="653"/>
    </row>
    <row r="53" ht="5.25" customHeight="1"/>
    <row r="54" ht="15">
      <c r="B54" s="165" t="s">
        <v>219</v>
      </c>
    </row>
    <row r="55" ht="6" customHeight="1"/>
    <row r="68" ht="14.25" customHeight="1"/>
    <row r="69" ht="14.25" customHeight="1"/>
    <row r="70" ht="14.25" customHeight="1"/>
    <row r="71" ht="14.25" customHeight="1"/>
    <row r="72" ht="14.25" customHeight="1"/>
    <row r="73" spans="13:20" ht="2.25" customHeight="1">
      <c r="M73" s="166"/>
      <c r="N73" s="166"/>
      <c r="O73" s="166"/>
      <c r="P73" s="166"/>
      <c r="Q73" s="166"/>
      <c r="R73" s="166"/>
      <c r="S73" s="166"/>
      <c r="T73" s="166"/>
    </row>
    <row r="74" spans="2:20" ht="9" customHeight="1">
      <c r="B74" s="653" t="s">
        <v>18</v>
      </c>
      <c r="C74" s="653"/>
      <c r="D74" s="653"/>
      <c r="E74" s="653"/>
      <c r="F74" s="653"/>
      <c r="G74" s="653"/>
      <c r="H74" s="653"/>
      <c r="I74" s="653"/>
      <c r="J74" s="653"/>
      <c r="K74" s="169"/>
      <c r="L74" s="653" t="s">
        <v>19</v>
      </c>
      <c r="M74" s="653"/>
      <c r="N74" s="653"/>
      <c r="O74" s="653"/>
      <c r="P74" s="653"/>
      <c r="Q74" s="653"/>
      <c r="R74" s="653"/>
      <c r="S74" s="653"/>
      <c r="T74" s="653"/>
    </row>
    <row r="75" spans="2:20" ht="7.5" customHeight="1">
      <c r="B75" s="653"/>
      <c r="C75" s="653"/>
      <c r="D75" s="653"/>
      <c r="E75" s="653"/>
      <c r="F75" s="653"/>
      <c r="G75" s="653"/>
      <c r="H75" s="653"/>
      <c r="I75" s="653"/>
      <c r="J75" s="653"/>
      <c r="K75" s="169"/>
      <c r="L75" s="653"/>
      <c r="M75" s="653"/>
      <c r="N75" s="653"/>
      <c r="O75" s="653"/>
      <c r="P75" s="653"/>
      <c r="Q75" s="653"/>
      <c r="R75" s="653"/>
      <c r="S75" s="653"/>
      <c r="T75" s="653"/>
    </row>
    <row r="76" spans="2:20" ht="5.25" customHeight="1">
      <c r="B76" s="653"/>
      <c r="C76" s="653"/>
      <c r="D76" s="653"/>
      <c r="E76" s="653"/>
      <c r="F76" s="653"/>
      <c r="G76" s="653"/>
      <c r="H76" s="653"/>
      <c r="I76" s="653"/>
      <c r="J76" s="653"/>
      <c r="K76" s="169"/>
      <c r="L76" s="653"/>
      <c r="M76" s="653"/>
      <c r="N76" s="653"/>
      <c r="O76" s="653"/>
      <c r="P76" s="653"/>
      <c r="Q76" s="653"/>
      <c r="R76" s="653"/>
      <c r="S76" s="653"/>
      <c r="T76" s="653"/>
    </row>
    <row r="77" spans="2:20" ht="6.75" customHeight="1">
      <c r="B77" s="653"/>
      <c r="C77" s="653"/>
      <c r="D77" s="653"/>
      <c r="E77" s="653"/>
      <c r="F77" s="653"/>
      <c r="G77" s="653"/>
      <c r="H77" s="653"/>
      <c r="I77" s="653"/>
      <c r="J77" s="653"/>
      <c r="K77" s="169"/>
      <c r="L77" s="653"/>
      <c r="M77" s="653"/>
      <c r="N77" s="653"/>
      <c r="O77" s="653"/>
      <c r="P77" s="653"/>
      <c r="Q77" s="653"/>
      <c r="R77" s="653"/>
      <c r="S77" s="653"/>
      <c r="T77" s="653"/>
    </row>
    <row r="78" spans="2:20" ht="0.75" customHeight="1" hidden="1">
      <c r="B78" s="653"/>
      <c r="C78" s="653"/>
      <c r="D78" s="653"/>
      <c r="E78" s="653"/>
      <c r="F78" s="653"/>
      <c r="G78" s="653"/>
      <c r="H78" s="653"/>
      <c r="I78" s="653"/>
      <c r="J78" s="653"/>
      <c r="K78" s="169"/>
      <c r="L78" s="653"/>
      <c r="M78" s="653"/>
      <c r="N78" s="653"/>
      <c r="O78" s="653"/>
      <c r="P78" s="653"/>
      <c r="Q78" s="653"/>
      <c r="R78" s="653"/>
      <c r="S78" s="653"/>
      <c r="T78" s="653"/>
    </row>
    <row r="79" spans="2:20" ht="12.75" hidden="1">
      <c r="B79" s="653"/>
      <c r="C79" s="653"/>
      <c r="D79" s="653"/>
      <c r="E79" s="653"/>
      <c r="F79" s="653"/>
      <c r="G79" s="653"/>
      <c r="H79" s="653"/>
      <c r="I79" s="653"/>
      <c r="J79" s="653"/>
      <c r="K79" s="169"/>
      <c r="L79" s="653"/>
      <c r="M79" s="653"/>
      <c r="N79" s="653"/>
      <c r="O79" s="653"/>
      <c r="P79" s="653"/>
      <c r="Q79" s="653"/>
      <c r="R79" s="653"/>
      <c r="S79" s="653"/>
      <c r="T79" s="653"/>
    </row>
    <row r="80" spans="2:20" ht="3.75" customHeight="1" hidden="1">
      <c r="B80" s="653"/>
      <c r="C80" s="653"/>
      <c r="D80" s="653"/>
      <c r="E80" s="653"/>
      <c r="F80" s="653"/>
      <c r="G80" s="653"/>
      <c r="H80" s="653"/>
      <c r="I80" s="653"/>
      <c r="J80" s="653"/>
      <c r="K80" s="169"/>
      <c r="L80" s="653"/>
      <c r="M80" s="653"/>
      <c r="N80" s="653"/>
      <c r="O80" s="653"/>
      <c r="P80" s="653"/>
      <c r="Q80" s="653"/>
      <c r="R80" s="653"/>
      <c r="S80" s="653"/>
      <c r="T80" s="653"/>
    </row>
    <row r="81" spans="2:20" ht="1.5" customHeight="1">
      <c r="B81" s="653"/>
      <c r="C81" s="653"/>
      <c r="D81" s="653"/>
      <c r="E81" s="653"/>
      <c r="F81" s="653"/>
      <c r="G81" s="653"/>
      <c r="H81" s="653"/>
      <c r="I81" s="653"/>
      <c r="J81" s="653"/>
      <c r="K81" s="169"/>
      <c r="L81" s="653"/>
      <c r="M81" s="653"/>
      <c r="N81" s="653"/>
      <c r="O81" s="653"/>
      <c r="P81" s="653"/>
      <c r="Q81" s="653"/>
      <c r="R81" s="653"/>
      <c r="S81" s="653"/>
      <c r="T81" s="653"/>
    </row>
    <row r="82" spans="2:20" ht="7.5" customHeight="1">
      <c r="B82" s="653"/>
      <c r="C82" s="653"/>
      <c r="D82" s="653"/>
      <c r="E82" s="653"/>
      <c r="F82" s="653"/>
      <c r="G82" s="653"/>
      <c r="H82" s="653"/>
      <c r="I82" s="653"/>
      <c r="J82" s="653"/>
      <c r="K82" s="169"/>
      <c r="L82" s="653"/>
      <c r="M82" s="653"/>
      <c r="N82" s="653"/>
      <c r="O82" s="653"/>
      <c r="P82" s="653"/>
      <c r="Q82" s="653"/>
      <c r="R82" s="653"/>
      <c r="S82" s="653"/>
      <c r="T82" s="653"/>
    </row>
    <row r="83" spans="2:20" ht="43.5" customHeight="1">
      <c r="B83" s="653"/>
      <c r="C83" s="653"/>
      <c r="D83" s="653"/>
      <c r="E83" s="653"/>
      <c r="F83" s="653"/>
      <c r="G83" s="653"/>
      <c r="H83" s="653"/>
      <c r="I83" s="653"/>
      <c r="J83" s="653"/>
      <c r="K83" s="169"/>
      <c r="L83" s="653"/>
      <c r="M83" s="653"/>
      <c r="N83" s="653"/>
      <c r="O83" s="653"/>
      <c r="P83" s="653"/>
      <c r="Q83" s="653"/>
      <c r="R83" s="653"/>
      <c r="S83" s="653"/>
      <c r="T83" s="653"/>
    </row>
    <row r="84" spans="2:20" ht="5.25" customHeight="1">
      <c r="B84" s="170"/>
      <c r="C84" s="170"/>
      <c r="D84" s="170"/>
      <c r="E84" s="170"/>
      <c r="F84" s="170"/>
      <c r="G84" s="170"/>
      <c r="H84" s="170"/>
      <c r="I84" s="170"/>
      <c r="J84" s="170"/>
      <c r="K84" s="171"/>
      <c r="L84" s="166"/>
      <c r="M84" s="166"/>
      <c r="N84" s="166"/>
      <c r="O84" s="166"/>
      <c r="P84" s="166"/>
      <c r="Q84" s="166"/>
      <c r="R84" s="166"/>
      <c r="S84" s="166"/>
      <c r="T84" s="166"/>
    </row>
    <row r="85" spans="2:12" ht="15">
      <c r="B85" s="165" t="s">
        <v>293</v>
      </c>
      <c r="K85" s="158"/>
      <c r="L85" s="165" t="s">
        <v>220</v>
      </c>
    </row>
    <row r="86" ht="6.75" customHeight="1">
      <c r="K86" s="158"/>
    </row>
    <row r="87" ht="12.75">
      <c r="K87" s="158"/>
    </row>
    <row r="88" ht="12.75">
      <c r="K88" s="158"/>
    </row>
    <row r="89" ht="12.75">
      <c r="K89" s="158"/>
    </row>
    <row r="90" ht="12.75">
      <c r="K90" s="158"/>
    </row>
    <row r="91" ht="12.75">
      <c r="K91" s="158"/>
    </row>
    <row r="92" ht="12.75">
      <c r="K92" s="158"/>
    </row>
    <row r="93" ht="12.75">
      <c r="K93" s="158"/>
    </row>
    <row r="94" ht="12.75">
      <c r="K94" s="158"/>
    </row>
    <row r="95" ht="12.75">
      <c r="K95" s="158"/>
    </row>
    <row r="96" ht="12.75">
      <c r="K96" s="158"/>
    </row>
    <row r="97" ht="12.75">
      <c r="K97" s="158"/>
    </row>
    <row r="98" ht="12.75">
      <c r="K98" s="158"/>
    </row>
    <row r="99" ht="14.25" customHeight="1">
      <c r="K99" s="158"/>
    </row>
    <row r="100" ht="14.25" customHeight="1">
      <c r="K100" s="158"/>
    </row>
    <row r="101" ht="14.25" customHeight="1">
      <c r="K101" s="158"/>
    </row>
    <row r="102" ht="14.25" customHeight="1">
      <c r="K102" s="158"/>
    </row>
    <row r="103" ht="14.25" customHeight="1">
      <c r="K103" s="158"/>
    </row>
    <row r="104" ht="4.5" customHeight="1">
      <c r="K104" s="158"/>
    </row>
    <row r="105" spans="2:20" ht="4.5" customHeight="1">
      <c r="B105" s="654" t="s">
        <v>13</v>
      </c>
      <c r="C105" s="655"/>
      <c r="D105" s="655"/>
      <c r="E105" s="655"/>
      <c r="F105" s="655"/>
      <c r="G105" s="655"/>
      <c r="H105" s="655"/>
      <c r="I105" s="655"/>
      <c r="J105" s="656"/>
      <c r="K105" s="173"/>
      <c r="L105" s="654" t="s">
        <v>14</v>
      </c>
      <c r="M105" s="655"/>
      <c r="N105" s="655"/>
      <c r="O105" s="655"/>
      <c r="P105" s="655"/>
      <c r="Q105" s="655"/>
      <c r="R105" s="655"/>
      <c r="S105" s="655"/>
      <c r="T105" s="656"/>
    </row>
    <row r="106" spans="2:20" ht="0.75" customHeight="1">
      <c r="B106" s="657"/>
      <c r="C106" s="658"/>
      <c r="D106" s="658"/>
      <c r="E106" s="658"/>
      <c r="F106" s="658"/>
      <c r="G106" s="658"/>
      <c r="H106" s="658"/>
      <c r="I106" s="658"/>
      <c r="J106" s="659"/>
      <c r="K106" s="173"/>
      <c r="L106" s="657"/>
      <c r="M106" s="658"/>
      <c r="N106" s="658"/>
      <c r="O106" s="658"/>
      <c r="P106" s="658"/>
      <c r="Q106" s="658"/>
      <c r="R106" s="658"/>
      <c r="S106" s="658"/>
      <c r="T106" s="659"/>
    </row>
    <row r="107" spans="2:20" ht="12.75" customHeight="1" hidden="1">
      <c r="B107" s="657"/>
      <c r="C107" s="658"/>
      <c r="D107" s="658"/>
      <c r="E107" s="658"/>
      <c r="F107" s="658"/>
      <c r="G107" s="658"/>
      <c r="H107" s="658"/>
      <c r="I107" s="658"/>
      <c r="J107" s="659"/>
      <c r="K107" s="173"/>
      <c r="L107" s="657"/>
      <c r="M107" s="658"/>
      <c r="N107" s="658"/>
      <c r="O107" s="658"/>
      <c r="P107" s="658"/>
      <c r="Q107" s="658"/>
      <c r="R107" s="658"/>
      <c r="S107" s="658"/>
      <c r="T107" s="659"/>
    </row>
    <row r="108" spans="2:20" ht="14.25" customHeight="1" hidden="1">
      <c r="B108" s="657"/>
      <c r="C108" s="658"/>
      <c r="D108" s="658"/>
      <c r="E108" s="658"/>
      <c r="F108" s="658"/>
      <c r="G108" s="658"/>
      <c r="H108" s="658"/>
      <c r="I108" s="658"/>
      <c r="J108" s="659"/>
      <c r="K108" s="173"/>
      <c r="L108" s="657"/>
      <c r="M108" s="658"/>
      <c r="N108" s="658"/>
      <c r="O108" s="658"/>
      <c r="P108" s="658"/>
      <c r="Q108" s="658"/>
      <c r="R108" s="658"/>
      <c r="S108" s="658"/>
      <c r="T108" s="659"/>
    </row>
    <row r="109" spans="2:20" ht="12.75" customHeight="1" hidden="1">
      <c r="B109" s="657"/>
      <c r="C109" s="658"/>
      <c r="D109" s="658"/>
      <c r="E109" s="658"/>
      <c r="F109" s="658"/>
      <c r="G109" s="658"/>
      <c r="H109" s="658"/>
      <c r="I109" s="658"/>
      <c r="J109" s="659"/>
      <c r="K109" s="173"/>
      <c r="L109" s="657"/>
      <c r="M109" s="658"/>
      <c r="N109" s="658"/>
      <c r="O109" s="658"/>
      <c r="P109" s="658"/>
      <c r="Q109" s="658"/>
      <c r="R109" s="658"/>
      <c r="S109" s="658"/>
      <c r="T109" s="659"/>
    </row>
    <row r="110" spans="2:20" ht="12.75" customHeight="1">
      <c r="B110" s="657"/>
      <c r="C110" s="658"/>
      <c r="D110" s="658"/>
      <c r="E110" s="658"/>
      <c r="F110" s="658"/>
      <c r="G110" s="658"/>
      <c r="H110" s="658"/>
      <c r="I110" s="658"/>
      <c r="J110" s="659"/>
      <c r="K110" s="173"/>
      <c r="L110" s="657"/>
      <c r="M110" s="658"/>
      <c r="N110" s="658"/>
      <c r="O110" s="658"/>
      <c r="P110" s="658"/>
      <c r="Q110" s="658"/>
      <c r="R110" s="658"/>
      <c r="S110" s="658"/>
      <c r="T110" s="659"/>
    </row>
    <row r="111" spans="2:20" ht="12.75" customHeight="1" hidden="1">
      <c r="B111" s="657"/>
      <c r="C111" s="658"/>
      <c r="D111" s="658"/>
      <c r="E111" s="658"/>
      <c r="F111" s="658"/>
      <c r="G111" s="658"/>
      <c r="H111" s="658"/>
      <c r="I111" s="658"/>
      <c r="J111" s="659"/>
      <c r="K111" s="173"/>
      <c r="L111" s="657"/>
      <c r="M111" s="658"/>
      <c r="N111" s="658"/>
      <c r="O111" s="658"/>
      <c r="P111" s="658"/>
      <c r="Q111" s="658"/>
      <c r="R111" s="658"/>
      <c r="S111" s="658"/>
      <c r="T111" s="659"/>
    </row>
    <row r="112" spans="2:20" ht="11.25" customHeight="1">
      <c r="B112" s="657"/>
      <c r="C112" s="658"/>
      <c r="D112" s="658"/>
      <c r="E112" s="658"/>
      <c r="F112" s="658"/>
      <c r="G112" s="658"/>
      <c r="H112" s="658"/>
      <c r="I112" s="658"/>
      <c r="J112" s="659"/>
      <c r="K112" s="173"/>
      <c r="L112" s="657"/>
      <c r="M112" s="658"/>
      <c r="N112" s="658"/>
      <c r="O112" s="658"/>
      <c r="P112" s="658"/>
      <c r="Q112" s="658"/>
      <c r="R112" s="658"/>
      <c r="S112" s="658"/>
      <c r="T112" s="659"/>
    </row>
    <row r="113" spans="2:20" ht="12.75" customHeight="1" hidden="1">
      <c r="B113" s="657"/>
      <c r="C113" s="658"/>
      <c r="D113" s="658"/>
      <c r="E113" s="658"/>
      <c r="F113" s="658"/>
      <c r="G113" s="658"/>
      <c r="H113" s="658"/>
      <c r="I113" s="658"/>
      <c r="J113" s="659"/>
      <c r="K113" s="173"/>
      <c r="L113" s="657"/>
      <c r="M113" s="658"/>
      <c r="N113" s="658"/>
      <c r="O113" s="658"/>
      <c r="P113" s="658"/>
      <c r="Q113" s="658"/>
      <c r="R113" s="658"/>
      <c r="S113" s="658"/>
      <c r="T113" s="659"/>
    </row>
    <row r="114" spans="2:20" ht="11.25" customHeight="1">
      <c r="B114" s="660"/>
      <c r="C114" s="661"/>
      <c r="D114" s="661"/>
      <c r="E114" s="661"/>
      <c r="F114" s="661"/>
      <c r="G114" s="661"/>
      <c r="H114" s="661"/>
      <c r="I114" s="661"/>
      <c r="J114" s="662"/>
      <c r="K114" s="173"/>
      <c r="L114" s="660"/>
      <c r="M114" s="661"/>
      <c r="N114" s="661"/>
      <c r="O114" s="661"/>
      <c r="P114" s="661"/>
      <c r="Q114" s="661"/>
      <c r="R114" s="661"/>
      <c r="S114" s="661"/>
      <c r="T114" s="662"/>
    </row>
    <row r="115" ht="5.25" customHeight="1"/>
    <row r="116" ht="15">
      <c r="B116" s="165" t="s">
        <v>134</v>
      </c>
    </row>
    <row r="117" ht="6.75" customHeight="1"/>
    <row r="130" ht="14.25" customHeight="1"/>
    <row r="131" ht="14.25" customHeight="1"/>
    <row r="132" ht="14.25" customHeight="1"/>
    <row r="133" ht="14.25" customHeight="1"/>
    <row r="134" ht="14.25" customHeight="1"/>
    <row r="135" ht="5.25" customHeight="1"/>
    <row r="136" spans="2:20" ht="1.5" customHeight="1">
      <c r="B136" s="653" t="s">
        <v>10</v>
      </c>
      <c r="C136" s="653"/>
      <c r="D136" s="653"/>
      <c r="E136" s="653"/>
      <c r="F136" s="653"/>
      <c r="G136" s="653"/>
      <c r="H136" s="653"/>
      <c r="I136" s="653"/>
      <c r="J136" s="653"/>
      <c r="K136" s="169"/>
      <c r="L136" s="654" t="s">
        <v>17</v>
      </c>
      <c r="M136" s="655"/>
      <c r="N136" s="655"/>
      <c r="O136" s="655"/>
      <c r="P136" s="655"/>
      <c r="Q136" s="655"/>
      <c r="R136" s="655"/>
      <c r="S136" s="655"/>
      <c r="T136" s="656"/>
    </row>
    <row r="137" spans="2:20" ht="12.75" hidden="1">
      <c r="B137" s="653"/>
      <c r="C137" s="653"/>
      <c r="D137" s="653"/>
      <c r="E137" s="653"/>
      <c r="F137" s="653"/>
      <c r="G137" s="653"/>
      <c r="H137" s="653"/>
      <c r="I137" s="653"/>
      <c r="J137" s="653"/>
      <c r="K137" s="169"/>
      <c r="L137" s="657"/>
      <c r="M137" s="658"/>
      <c r="N137" s="658"/>
      <c r="O137" s="658"/>
      <c r="P137" s="658"/>
      <c r="Q137" s="658"/>
      <c r="R137" s="658"/>
      <c r="S137" s="658"/>
      <c r="T137" s="659"/>
    </row>
    <row r="138" spans="2:20" ht="6.75" customHeight="1" hidden="1">
      <c r="B138" s="653"/>
      <c r="C138" s="653"/>
      <c r="D138" s="653"/>
      <c r="E138" s="653"/>
      <c r="F138" s="653"/>
      <c r="G138" s="653"/>
      <c r="H138" s="653"/>
      <c r="I138" s="653"/>
      <c r="J138" s="653"/>
      <c r="K138" s="169"/>
      <c r="L138" s="657"/>
      <c r="M138" s="658"/>
      <c r="N138" s="658"/>
      <c r="O138" s="658"/>
      <c r="P138" s="658"/>
      <c r="Q138" s="658"/>
      <c r="R138" s="658"/>
      <c r="S138" s="658"/>
      <c r="T138" s="659"/>
    </row>
    <row r="139" spans="2:20" ht="3" customHeight="1">
      <c r="B139" s="653"/>
      <c r="C139" s="653"/>
      <c r="D139" s="653"/>
      <c r="E139" s="653"/>
      <c r="F139" s="653"/>
      <c r="G139" s="653"/>
      <c r="H139" s="653"/>
      <c r="I139" s="653"/>
      <c r="J139" s="653"/>
      <c r="K139" s="169"/>
      <c r="L139" s="657"/>
      <c r="M139" s="658"/>
      <c r="N139" s="658"/>
      <c r="O139" s="658"/>
      <c r="P139" s="658"/>
      <c r="Q139" s="658"/>
      <c r="R139" s="658"/>
      <c r="S139" s="658"/>
      <c r="T139" s="659"/>
    </row>
    <row r="140" spans="2:20" ht="0.75" customHeight="1">
      <c r="B140" s="653"/>
      <c r="C140" s="653"/>
      <c r="D140" s="653"/>
      <c r="E140" s="653"/>
      <c r="F140" s="653"/>
      <c r="G140" s="653"/>
      <c r="H140" s="653"/>
      <c r="I140" s="653"/>
      <c r="J140" s="653"/>
      <c r="K140" s="169"/>
      <c r="L140" s="657"/>
      <c r="M140" s="658"/>
      <c r="N140" s="658"/>
      <c r="O140" s="658"/>
      <c r="P140" s="658"/>
      <c r="Q140" s="658"/>
      <c r="R140" s="658"/>
      <c r="S140" s="658"/>
      <c r="T140" s="659"/>
    </row>
    <row r="141" spans="2:20" ht="5.25" customHeight="1">
      <c r="B141" s="653"/>
      <c r="C141" s="653"/>
      <c r="D141" s="653"/>
      <c r="E141" s="653"/>
      <c r="F141" s="653"/>
      <c r="G141" s="653"/>
      <c r="H141" s="653"/>
      <c r="I141" s="653"/>
      <c r="J141" s="653"/>
      <c r="K141" s="169"/>
      <c r="L141" s="657"/>
      <c r="M141" s="658"/>
      <c r="N141" s="658"/>
      <c r="O141" s="658"/>
      <c r="P141" s="658"/>
      <c r="Q141" s="658"/>
      <c r="R141" s="658"/>
      <c r="S141" s="658"/>
      <c r="T141" s="659"/>
    </row>
    <row r="142" spans="2:20" ht="9" customHeight="1">
      <c r="B142" s="653"/>
      <c r="C142" s="653"/>
      <c r="D142" s="653"/>
      <c r="E142" s="653"/>
      <c r="F142" s="653"/>
      <c r="G142" s="653"/>
      <c r="H142" s="653"/>
      <c r="I142" s="653"/>
      <c r="J142" s="653"/>
      <c r="K142" s="169"/>
      <c r="L142" s="657"/>
      <c r="M142" s="658"/>
      <c r="N142" s="658"/>
      <c r="O142" s="658"/>
      <c r="P142" s="658"/>
      <c r="Q142" s="658"/>
      <c r="R142" s="658"/>
      <c r="S142" s="658"/>
      <c r="T142" s="659"/>
    </row>
    <row r="143" spans="2:20" ht="0.75" customHeight="1">
      <c r="B143" s="653"/>
      <c r="C143" s="653"/>
      <c r="D143" s="653"/>
      <c r="E143" s="653"/>
      <c r="F143" s="653"/>
      <c r="G143" s="653"/>
      <c r="H143" s="653"/>
      <c r="I143" s="653"/>
      <c r="J143" s="653"/>
      <c r="K143" s="169"/>
      <c r="L143" s="657"/>
      <c r="M143" s="658"/>
      <c r="N143" s="658"/>
      <c r="O143" s="658"/>
      <c r="P143" s="658"/>
      <c r="Q143" s="658"/>
      <c r="R143" s="658"/>
      <c r="S143" s="658"/>
      <c r="T143" s="659"/>
    </row>
    <row r="144" spans="2:20" ht="51" customHeight="1">
      <c r="B144" s="653"/>
      <c r="C144" s="653"/>
      <c r="D144" s="653"/>
      <c r="E144" s="653"/>
      <c r="F144" s="653"/>
      <c r="G144" s="653"/>
      <c r="H144" s="653"/>
      <c r="I144" s="653"/>
      <c r="J144" s="653"/>
      <c r="K144" s="169"/>
      <c r="L144" s="660"/>
      <c r="M144" s="661"/>
      <c r="N144" s="661"/>
      <c r="O144" s="661"/>
      <c r="P144" s="661"/>
      <c r="Q144" s="661"/>
      <c r="R144" s="661"/>
      <c r="S144" s="661"/>
      <c r="T144" s="662"/>
    </row>
    <row r="145" ht="6.75" customHeight="1"/>
    <row r="158" ht="14.25" customHeight="1"/>
    <row r="159" ht="14.25" customHeight="1"/>
    <row r="160" ht="14.25" customHeight="1"/>
    <row r="161" ht="14.25" customHeight="1"/>
    <row r="162" ht="14.25" customHeight="1"/>
  </sheetData>
  <mergeCells count="11">
    <mergeCell ref="I2:Q2"/>
    <mergeCell ref="B47:J52"/>
    <mergeCell ref="L23:T26"/>
    <mergeCell ref="L47:T52"/>
    <mergeCell ref="B23:J26"/>
    <mergeCell ref="B136:J144"/>
    <mergeCell ref="B74:J83"/>
    <mergeCell ref="L74:T83"/>
    <mergeCell ref="B105:J114"/>
    <mergeCell ref="L105:T114"/>
    <mergeCell ref="L136:T144"/>
  </mergeCells>
  <printOptions horizontalCentered="1" verticalCentered="1"/>
  <pageMargins left="0.35433070866141736" right="0.35433070866141736" top="0.1968503937007874" bottom="0.1968503937007874" header="0.5118110236220472" footer="0.5118110236220472"/>
  <pageSetup fitToHeight="1" fitToWidth="1" horizontalDpi="600" verticalDpi="600" orientation="portrait" paperSize="8" scale="76" r:id="rId2"/>
  <rowBreaks count="1" manualBreakCount="1">
    <brk id="53" min="1" max="18"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B1:T95"/>
  <sheetViews>
    <sheetView zoomScaleSheetLayoutView="75" workbookViewId="0" topLeftCell="A1">
      <selection activeCell="A1" sqref="A1"/>
    </sheetView>
  </sheetViews>
  <sheetFormatPr defaultColWidth="9.140625" defaultRowHeight="12.75"/>
  <cols>
    <col min="1" max="2" width="0.71875" style="200" customWidth="1"/>
    <col min="3" max="3" width="14.00390625" style="200" customWidth="1"/>
    <col min="4" max="4" width="11.140625" style="200" customWidth="1"/>
    <col min="5" max="5" width="12.57421875" style="200" customWidth="1"/>
    <col min="6" max="6" width="11.140625" style="200" bestFit="1" customWidth="1"/>
    <col min="7" max="7" width="12.7109375" style="200" customWidth="1"/>
    <col min="8" max="8" width="11.140625" style="200" customWidth="1"/>
    <col min="9" max="9" width="12.00390625" style="200" customWidth="1"/>
    <col min="10" max="10" width="14.28125" style="200" bestFit="1" customWidth="1"/>
    <col min="11" max="11" width="14.57421875" style="200" customWidth="1"/>
    <col min="12" max="12" width="14.28125" style="200" bestFit="1" customWidth="1"/>
    <col min="13" max="13" width="13.28125" style="200" customWidth="1"/>
    <col min="14" max="14" width="11.140625" style="200" bestFit="1" customWidth="1"/>
    <col min="15" max="15" width="12.421875" style="200" customWidth="1"/>
    <col min="16" max="16" width="5.8515625" style="200" bestFit="1" customWidth="1"/>
    <col min="17" max="17" width="11.00390625" style="200" customWidth="1"/>
    <col min="18" max="16384" width="9.140625" style="200" customWidth="1"/>
  </cols>
  <sheetData>
    <row r="1" spans="3:17" s="141" customFormat="1" ht="19.5" customHeight="1" thickTop="1">
      <c r="C1" s="215" t="s">
        <v>283</v>
      </c>
      <c r="D1" s="216"/>
      <c r="E1" s="217"/>
      <c r="F1" s="218"/>
      <c r="G1" s="219"/>
      <c r="H1" s="220"/>
      <c r="I1" s="220"/>
      <c r="J1" s="220"/>
      <c r="K1" s="220"/>
      <c r="L1" s="220"/>
      <c r="M1" s="220"/>
      <c r="N1" s="221"/>
      <c r="O1" s="222"/>
      <c r="P1" s="223"/>
      <c r="Q1" s="224"/>
    </row>
    <row r="2" spans="3:17" s="141" customFormat="1" ht="19.5" customHeight="1">
      <c r="C2" s="225"/>
      <c r="D2" s="201"/>
      <c r="E2" s="139"/>
      <c r="F2" s="140"/>
      <c r="G2" s="202"/>
      <c r="H2" s="203"/>
      <c r="I2" s="203"/>
      <c r="J2" s="203"/>
      <c r="K2" s="203"/>
      <c r="L2" s="203"/>
      <c r="M2" s="203"/>
      <c r="N2" s="204"/>
      <c r="O2" s="205"/>
      <c r="P2" s="206"/>
      <c r="Q2" s="226"/>
    </row>
    <row r="3" spans="3:17" s="143" customFormat="1" ht="14.25" customHeight="1" thickBot="1">
      <c r="C3" s="227" t="s">
        <v>154</v>
      </c>
      <c r="D3" s="207"/>
      <c r="E3" s="183"/>
      <c r="F3" s="183"/>
      <c r="G3" s="208"/>
      <c r="H3" s="208"/>
      <c r="I3" s="208"/>
      <c r="J3" s="208"/>
      <c r="K3" s="208"/>
      <c r="L3" s="208"/>
      <c r="M3" s="208"/>
      <c r="N3" s="199"/>
      <c r="O3" s="199"/>
      <c r="P3" s="208"/>
      <c r="Q3" s="228"/>
    </row>
    <row r="4" spans="3:17" s="135" customFormat="1" ht="48.75" customHeight="1" thickBot="1">
      <c r="C4" s="229" t="s">
        <v>69</v>
      </c>
      <c r="D4" s="667" t="s">
        <v>176</v>
      </c>
      <c r="E4" s="667"/>
      <c r="F4" s="667"/>
      <c r="G4" s="667"/>
      <c r="H4" s="667"/>
      <c r="I4" s="667"/>
      <c r="J4" s="667"/>
      <c r="K4" s="667"/>
      <c r="L4" s="667"/>
      <c r="M4" s="667"/>
      <c r="N4" s="668"/>
      <c r="O4" s="668"/>
      <c r="P4" s="668"/>
      <c r="Q4" s="669"/>
    </row>
    <row r="5" spans="3:17" s="135" customFormat="1" ht="12.75" customHeight="1">
      <c r="C5" s="230"/>
      <c r="D5" s="176"/>
      <c r="E5" s="176"/>
      <c r="F5" s="176"/>
      <c r="G5" s="176"/>
      <c r="H5" s="176"/>
      <c r="I5" s="176"/>
      <c r="J5" s="176"/>
      <c r="K5" s="176"/>
      <c r="L5" s="176"/>
      <c r="M5" s="176"/>
      <c r="N5" s="177"/>
      <c r="O5" s="177"/>
      <c r="P5" s="177"/>
      <c r="Q5" s="231"/>
    </row>
    <row r="6" spans="3:17" s="135" customFormat="1" ht="15">
      <c r="C6" s="232"/>
      <c r="D6" s="136"/>
      <c r="E6" s="137"/>
      <c r="F6" s="137"/>
      <c r="G6" s="137"/>
      <c r="H6" s="137"/>
      <c r="I6" s="137"/>
      <c r="J6" s="137"/>
      <c r="K6" s="137"/>
      <c r="L6" s="647" t="s">
        <v>159</v>
      </c>
      <c r="M6" s="648"/>
      <c r="N6" s="648"/>
      <c r="O6" s="648"/>
      <c r="P6" s="648"/>
      <c r="Q6" s="649"/>
    </row>
    <row r="7" spans="3:17" s="135" customFormat="1" ht="15">
      <c r="C7" s="232"/>
      <c r="D7" s="136"/>
      <c r="E7" s="137"/>
      <c r="F7" s="137"/>
      <c r="G7" s="137"/>
      <c r="H7" s="137"/>
      <c r="I7" s="137"/>
      <c r="J7" s="137"/>
      <c r="K7" s="137"/>
      <c r="L7" s="145"/>
      <c r="M7" s="146"/>
      <c r="N7" s="147"/>
      <c r="O7" s="147"/>
      <c r="P7" s="147"/>
      <c r="Q7" s="233"/>
    </row>
    <row r="8" spans="3:17" s="135" customFormat="1" ht="33.75" customHeight="1">
      <c r="C8" s="232"/>
      <c r="D8" s="136"/>
      <c r="E8" s="137"/>
      <c r="F8" s="137"/>
      <c r="G8" s="137"/>
      <c r="H8" s="137"/>
      <c r="I8" s="137"/>
      <c r="J8" s="137"/>
      <c r="K8" s="137"/>
      <c r="L8" s="645" t="s">
        <v>197</v>
      </c>
      <c r="M8" s="637"/>
      <c r="N8" s="637"/>
      <c r="O8" s="637"/>
      <c r="P8" s="637"/>
      <c r="Q8" s="638"/>
    </row>
    <row r="9" spans="3:17" s="135" customFormat="1" ht="15">
      <c r="C9" s="232"/>
      <c r="D9" s="136"/>
      <c r="E9" s="137"/>
      <c r="F9" s="137"/>
      <c r="G9" s="137"/>
      <c r="H9" s="137"/>
      <c r="I9" s="137"/>
      <c r="J9" s="137"/>
      <c r="K9" s="137"/>
      <c r="L9" s="148"/>
      <c r="M9" s="149"/>
      <c r="N9" s="150"/>
      <c r="O9" s="150"/>
      <c r="P9" s="150"/>
      <c r="Q9" s="233"/>
    </row>
    <row r="10" spans="3:17" s="135" customFormat="1" ht="15" customHeight="1">
      <c r="C10" s="232"/>
      <c r="D10" s="136"/>
      <c r="E10" s="137"/>
      <c r="F10" s="137"/>
      <c r="G10" s="137"/>
      <c r="H10" s="137"/>
      <c r="I10" s="137"/>
      <c r="J10" s="137"/>
      <c r="K10" s="137"/>
      <c r="L10" s="639" t="s">
        <v>257</v>
      </c>
      <c r="M10" s="640"/>
      <c r="N10" s="640"/>
      <c r="O10" s="640"/>
      <c r="P10" s="640"/>
      <c r="Q10" s="641"/>
    </row>
    <row r="11" spans="3:17" s="135" customFormat="1" ht="15" customHeight="1">
      <c r="C11" s="232"/>
      <c r="D11" s="136"/>
      <c r="E11" s="137"/>
      <c r="F11" s="137"/>
      <c r="G11" s="137"/>
      <c r="H11" s="137"/>
      <c r="I11" s="137"/>
      <c r="J11" s="137"/>
      <c r="K11" s="137"/>
      <c r="L11" s="639"/>
      <c r="M11" s="640"/>
      <c r="N11" s="640"/>
      <c r="O11" s="640"/>
      <c r="P11" s="640"/>
      <c r="Q11" s="641"/>
    </row>
    <row r="12" spans="3:17" s="135" customFormat="1" ht="15">
      <c r="C12" s="232"/>
      <c r="D12" s="136"/>
      <c r="E12" s="137"/>
      <c r="F12" s="137"/>
      <c r="G12" s="137"/>
      <c r="H12" s="137"/>
      <c r="I12" s="137"/>
      <c r="J12" s="137"/>
      <c r="K12" s="137"/>
      <c r="L12" s="639"/>
      <c r="M12" s="640"/>
      <c r="N12" s="640"/>
      <c r="O12" s="640"/>
      <c r="P12" s="640"/>
      <c r="Q12" s="641"/>
    </row>
    <row r="13" spans="3:17" s="135" customFormat="1" ht="15">
      <c r="C13" s="232"/>
      <c r="D13" s="136"/>
      <c r="E13" s="137"/>
      <c r="F13" s="137"/>
      <c r="G13" s="137"/>
      <c r="H13" s="137"/>
      <c r="I13" s="137"/>
      <c r="J13" s="137"/>
      <c r="K13" s="137"/>
      <c r="L13" s="639"/>
      <c r="M13" s="640"/>
      <c r="N13" s="640"/>
      <c r="O13" s="640"/>
      <c r="P13" s="640"/>
      <c r="Q13" s="641"/>
    </row>
    <row r="14" spans="3:17" s="135" customFormat="1" ht="15" customHeight="1">
      <c r="C14" s="232"/>
      <c r="D14" s="136"/>
      <c r="E14" s="137"/>
      <c r="F14" s="137"/>
      <c r="G14" s="137"/>
      <c r="H14" s="137"/>
      <c r="I14" s="137"/>
      <c r="J14" s="137"/>
      <c r="K14" s="137"/>
      <c r="L14" s="639"/>
      <c r="M14" s="640"/>
      <c r="N14" s="640"/>
      <c r="O14" s="640"/>
      <c r="P14" s="640"/>
      <c r="Q14" s="641"/>
    </row>
    <row r="15" spans="3:17" s="135" customFormat="1" ht="15">
      <c r="C15" s="232"/>
      <c r="D15" s="136"/>
      <c r="E15" s="137"/>
      <c r="F15" s="137"/>
      <c r="G15" s="137"/>
      <c r="H15" s="137"/>
      <c r="I15" s="137"/>
      <c r="J15" s="137"/>
      <c r="K15" s="137"/>
      <c r="L15" s="151"/>
      <c r="M15" s="137"/>
      <c r="N15" s="138"/>
      <c r="O15" s="138"/>
      <c r="P15" s="138"/>
      <c r="Q15" s="233"/>
    </row>
    <row r="16" spans="3:17" s="135" customFormat="1" ht="15" customHeight="1">
      <c r="C16" s="232"/>
      <c r="D16" s="136"/>
      <c r="E16" s="137"/>
      <c r="F16" s="137"/>
      <c r="G16" s="137"/>
      <c r="H16" s="137"/>
      <c r="I16" s="137"/>
      <c r="J16" s="137"/>
      <c r="K16" s="137"/>
      <c r="L16" s="152"/>
      <c r="M16" s="153"/>
      <c r="N16" s="154"/>
      <c r="O16" s="138"/>
      <c r="P16" s="138"/>
      <c r="Q16" s="233"/>
    </row>
    <row r="17" spans="3:17" s="135" customFormat="1" ht="15">
      <c r="C17" s="232"/>
      <c r="D17" s="136"/>
      <c r="E17" s="137"/>
      <c r="F17" s="137"/>
      <c r="G17" s="137"/>
      <c r="H17" s="137"/>
      <c r="I17" s="137"/>
      <c r="J17" s="137"/>
      <c r="K17" s="137"/>
      <c r="L17" s="151"/>
      <c r="M17" s="137"/>
      <c r="N17" s="138"/>
      <c r="O17" s="138"/>
      <c r="P17" s="138"/>
      <c r="Q17" s="233"/>
    </row>
    <row r="18" spans="3:17" s="135" customFormat="1" ht="15">
      <c r="C18" s="232"/>
      <c r="D18" s="136"/>
      <c r="E18" s="137"/>
      <c r="F18" s="137"/>
      <c r="G18" s="137"/>
      <c r="H18" s="137"/>
      <c r="I18" s="137"/>
      <c r="J18" s="137"/>
      <c r="K18" s="137"/>
      <c r="L18" s="151"/>
      <c r="M18" s="137"/>
      <c r="N18" s="138"/>
      <c r="O18" s="138"/>
      <c r="P18" s="138"/>
      <c r="Q18" s="233"/>
    </row>
    <row r="19" spans="3:17" s="135" customFormat="1" ht="15">
      <c r="C19" s="232"/>
      <c r="D19" s="136"/>
      <c r="E19" s="137"/>
      <c r="F19" s="137"/>
      <c r="G19" s="137"/>
      <c r="H19" s="137"/>
      <c r="I19" s="137"/>
      <c r="J19" s="137"/>
      <c r="K19" s="137"/>
      <c r="L19" s="151"/>
      <c r="M19" s="137"/>
      <c r="N19" s="138"/>
      <c r="O19" s="138"/>
      <c r="P19" s="138"/>
      <c r="Q19" s="233"/>
    </row>
    <row r="20" spans="3:17" s="135" customFormat="1" ht="15">
      <c r="C20" s="232"/>
      <c r="D20" s="136"/>
      <c r="E20" s="137"/>
      <c r="F20" s="137"/>
      <c r="G20" s="137"/>
      <c r="H20" s="137"/>
      <c r="I20" s="137"/>
      <c r="J20" s="137"/>
      <c r="K20" s="137"/>
      <c r="L20" s="155"/>
      <c r="M20" s="156"/>
      <c r="N20" s="157"/>
      <c r="O20" s="157"/>
      <c r="P20" s="157"/>
      <c r="Q20" s="234"/>
    </row>
    <row r="21" spans="3:17" s="135" customFormat="1" ht="15">
      <c r="C21" s="232"/>
      <c r="D21" s="136"/>
      <c r="E21" s="137"/>
      <c r="F21" s="137"/>
      <c r="G21" s="137"/>
      <c r="H21" s="137"/>
      <c r="I21" s="137"/>
      <c r="J21" s="137"/>
      <c r="K21" s="137"/>
      <c r="L21" s="137"/>
      <c r="M21" s="137"/>
      <c r="N21" s="138"/>
      <c r="O21" s="138"/>
      <c r="P21" s="138"/>
      <c r="Q21" s="233"/>
    </row>
    <row r="22" spans="3:17" s="135" customFormat="1" ht="15.75">
      <c r="C22" s="235" t="s">
        <v>152</v>
      </c>
      <c r="D22" s="136"/>
      <c r="E22" s="137"/>
      <c r="F22" s="137"/>
      <c r="G22" s="137"/>
      <c r="H22" s="137"/>
      <c r="I22" s="137"/>
      <c r="J22" s="137"/>
      <c r="K22" s="137"/>
      <c r="L22" s="137"/>
      <c r="M22" s="137"/>
      <c r="N22" s="138"/>
      <c r="O22" s="138"/>
      <c r="P22" s="138"/>
      <c r="Q22" s="233"/>
    </row>
    <row r="23" spans="3:17" s="250" customFormat="1" ht="36.75" customHeight="1">
      <c r="C23" s="251"/>
      <c r="D23" s="252"/>
      <c r="E23" s="252"/>
      <c r="F23" s="252"/>
      <c r="G23" s="252"/>
      <c r="H23" s="252"/>
      <c r="I23" s="252"/>
      <c r="J23" s="252"/>
      <c r="K23" s="252"/>
      <c r="L23" s="252"/>
      <c r="M23" s="252"/>
      <c r="N23" s="252"/>
      <c r="O23" s="252"/>
      <c r="P23" s="252"/>
      <c r="Q23" s="253"/>
    </row>
    <row r="24" spans="3:17" s="250" customFormat="1" ht="18" customHeight="1">
      <c r="C24" s="251"/>
      <c r="D24" s="252"/>
      <c r="E24" s="252"/>
      <c r="F24" s="252"/>
      <c r="G24" s="252"/>
      <c r="H24" s="252"/>
      <c r="I24" s="252"/>
      <c r="J24" s="252"/>
      <c r="K24" s="252"/>
      <c r="L24" s="252"/>
      <c r="M24" s="252"/>
      <c r="N24" s="252"/>
      <c r="O24" s="252"/>
      <c r="P24" s="252"/>
      <c r="Q24" s="253"/>
    </row>
    <row r="25" spans="3:17" s="250" customFormat="1" ht="18" customHeight="1">
      <c r="C25" s="251"/>
      <c r="D25" s="252"/>
      <c r="E25" s="252"/>
      <c r="F25" s="252"/>
      <c r="G25" s="252"/>
      <c r="H25" s="252"/>
      <c r="I25" s="252"/>
      <c r="J25" s="252"/>
      <c r="K25" s="252"/>
      <c r="L25" s="252"/>
      <c r="M25" s="252"/>
      <c r="N25" s="252"/>
      <c r="O25" s="252"/>
      <c r="P25" s="252"/>
      <c r="Q25" s="253"/>
    </row>
    <row r="26" spans="3:17" s="250" customFormat="1" ht="18" customHeight="1">
      <c r="C26" s="251"/>
      <c r="D26" s="252"/>
      <c r="E26" s="252"/>
      <c r="F26" s="252"/>
      <c r="G26" s="252"/>
      <c r="H26" s="252"/>
      <c r="I26" s="252"/>
      <c r="J26" s="252"/>
      <c r="K26" s="252"/>
      <c r="L26" s="252"/>
      <c r="M26" s="252"/>
      <c r="N26" s="252"/>
      <c r="O26" s="252"/>
      <c r="P26" s="252"/>
      <c r="Q26" s="253"/>
    </row>
    <row r="27" spans="3:17" s="250" customFormat="1" ht="18" customHeight="1">
      <c r="C27" s="251"/>
      <c r="D27" s="252"/>
      <c r="E27" s="252"/>
      <c r="F27" s="252"/>
      <c r="G27" s="252"/>
      <c r="H27" s="252"/>
      <c r="I27" s="252"/>
      <c r="J27" s="252"/>
      <c r="K27" s="252"/>
      <c r="L27" s="252"/>
      <c r="M27" s="252"/>
      <c r="N27" s="252"/>
      <c r="O27" s="252"/>
      <c r="P27" s="252"/>
      <c r="Q27" s="253"/>
    </row>
    <row r="28" spans="3:17" s="250" customFormat="1" ht="18" customHeight="1">
      <c r="C28" s="251"/>
      <c r="D28" s="252"/>
      <c r="E28" s="252"/>
      <c r="F28" s="252"/>
      <c r="G28" s="252"/>
      <c r="H28" s="252"/>
      <c r="I28" s="252"/>
      <c r="J28" s="252"/>
      <c r="K28" s="252"/>
      <c r="L28" s="252"/>
      <c r="M28" s="252"/>
      <c r="N28" s="252"/>
      <c r="O28" s="252"/>
      <c r="P28" s="252"/>
      <c r="Q28" s="253"/>
    </row>
    <row r="29" spans="3:17" s="250" customFormat="1" ht="18" customHeight="1">
      <c r="C29" s="251"/>
      <c r="D29" s="252"/>
      <c r="E29" s="252"/>
      <c r="F29" s="252"/>
      <c r="G29" s="252"/>
      <c r="H29" s="252"/>
      <c r="I29" s="252"/>
      <c r="J29" s="252"/>
      <c r="K29" s="252"/>
      <c r="L29" s="252"/>
      <c r="M29" s="252"/>
      <c r="N29" s="252"/>
      <c r="O29" s="252"/>
      <c r="P29" s="252"/>
      <c r="Q29" s="253"/>
    </row>
    <row r="30" spans="3:17" s="250" customFormat="1" ht="18" customHeight="1">
      <c r="C30" s="251"/>
      <c r="D30" s="252"/>
      <c r="E30" s="252"/>
      <c r="F30" s="252"/>
      <c r="G30" s="252"/>
      <c r="H30" s="252"/>
      <c r="I30" s="252"/>
      <c r="J30" s="252"/>
      <c r="K30" s="252"/>
      <c r="L30" s="252"/>
      <c r="M30" s="252"/>
      <c r="N30" s="252"/>
      <c r="O30" s="252"/>
      <c r="P30" s="252"/>
      <c r="Q30" s="253"/>
    </row>
    <row r="31" spans="3:17" s="250" customFormat="1" ht="18" customHeight="1">
      <c r="C31" s="251"/>
      <c r="D31" s="252"/>
      <c r="E31" s="252"/>
      <c r="F31" s="252"/>
      <c r="G31" s="252"/>
      <c r="H31" s="252"/>
      <c r="I31" s="252"/>
      <c r="J31" s="252"/>
      <c r="K31" s="252"/>
      <c r="L31" s="252"/>
      <c r="M31" s="252"/>
      <c r="N31" s="252"/>
      <c r="O31" s="252"/>
      <c r="P31" s="252"/>
      <c r="Q31" s="253"/>
    </row>
    <row r="32" spans="3:17" s="250" customFormat="1" ht="18" customHeight="1">
      <c r="C32" s="251"/>
      <c r="D32" s="252"/>
      <c r="E32" s="252"/>
      <c r="F32" s="252"/>
      <c r="G32" s="252"/>
      <c r="H32" s="252"/>
      <c r="I32" s="252"/>
      <c r="J32" s="252"/>
      <c r="K32" s="252"/>
      <c r="L32" s="252"/>
      <c r="M32" s="252"/>
      <c r="N32" s="252"/>
      <c r="O32" s="252"/>
      <c r="P32" s="252"/>
      <c r="Q32" s="253"/>
    </row>
    <row r="33" spans="3:17" s="250" customFormat="1" ht="18" customHeight="1">
      <c r="C33" s="251"/>
      <c r="D33" s="252"/>
      <c r="E33" s="252"/>
      <c r="F33" s="252"/>
      <c r="G33" s="252"/>
      <c r="H33" s="252"/>
      <c r="I33" s="252"/>
      <c r="J33" s="252"/>
      <c r="K33" s="252"/>
      <c r="L33" s="252"/>
      <c r="M33" s="252"/>
      <c r="N33" s="252"/>
      <c r="O33" s="252"/>
      <c r="P33" s="252"/>
      <c r="Q33" s="253"/>
    </row>
    <row r="34" spans="3:17" s="250" customFormat="1" ht="18" customHeight="1">
      <c r="C34" s="251"/>
      <c r="D34" s="252"/>
      <c r="E34" s="252"/>
      <c r="F34" s="252"/>
      <c r="G34" s="252"/>
      <c r="H34" s="252"/>
      <c r="I34" s="252"/>
      <c r="J34" s="252"/>
      <c r="K34" s="252"/>
      <c r="L34" s="252"/>
      <c r="M34" s="252"/>
      <c r="N34" s="252"/>
      <c r="O34" s="252"/>
      <c r="P34" s="252"/>
      <c r="Q34" s="253"/>
    </row>
    <row r="35" spans="3:17" s="135" customFormat="1" ht="9.75" customHeight="1">
      <c r="C35" s="254"/>
      <c r="D35" s="209"/>
      <c r="E35" s="209"/>
      <c r="F35" s="209"/>
      <c r="G35" s="209"/>
      <c r="H35" s="209"/>
      <c r="I35" s="209"/>
      <c r="J35" s="209"/>
      <c r="K35" s="209"/>
      <c r="L35" s="209"/>
      <c r="M35" s="209"/>
      <c r="N35" s="209"/>
      <c r="O35" s="209"/>
      <c r="P35" s="209"/>
      <c r="Q35" s="238"/>
    </row>
    <row r="36" spans="3:17" s="135" customFormat="1" ht="9.75" customHeight="1">
      <c r="C36" s="254"/>
      <c r="D36" s="209"/>
      <c r="E36" s="209"/>
      <c r="F36" s="209"/>
      <c r="G36" s="209"/>
      <c r="H36" s="209"/>
      <c r="I36" s="209"/>
      <c r="J36" s="209"/>
      <c r="K36" s="209"/>
      <c r="L36" s="209"/>
      <c r="M36" s="209"/>
      <c r="N36" s="209"/>
      <c r="O36" s="209"/>
      <c r="P36" s="209"/>
      <c r="Q36" s="238"/>
    </row>
    <row r="37" spans="3:17" s="135" customFormat="1" ht="9.75" customHeight="1">
      <c r="C37" s="254"/>
      <c r="D37" s="209"/>
      <c r="E37" s="209"/>
      <c r="F37" s="209"/>
      <c r="G37" s="209"/>
      <c r="H37" s="209"/>
      <c r="I37" s="209"/>
      <c r="J37" s="209"/>
      <c r="K37" s="209"/>
      <c r="L37" s="209"/>
      <c r="M37" s="209"/>
      <c r="N37" s="209"/>
      <c r="O37" s="209"/>
      <c r="P37" s="209"/>
      <c r="Q37" s="238"/>
    </row>
    <row r="38" spans="3:17" s="135" customFormat="1" ht="9.75" customHeight="1">
      <c r="C38" s="254"/>
      <c r="D38" s="209"/>
      <c r="E38" s="209"/>
      <c r="F38" s="209"/>
      <c r="G38" s="209"/>
      <c r="H38" s="209"/>
      <c r="I38" s="209"/>
      <c r="J38" s="209"/>
      <c r="K38" s="209"/>
      <c r="L38" s="209"/>
      <c r="M38" s="209"/>
      <c r="N38" s="209"/>
      <c r="O38" s="209"/>
      <c r="P38" s="209"/>
      <c r="Q38" s="238"/>
    </row>
    <row r="39" spans="3:17" s="135" customFormat="1" ht="9.75" customHeight="1">
      <c r="C39" s="254"/>
      <c r="D39" s="209"/>
      <c r="E39" s="209"/>
      <c r="F39" s="209"/>
      <c r="G39" s="209"/>
      <c r="H39" s="209"/>
      <c r="I39" s="209"/>
      <c r="J39" s="209"/>
      <c r="K39" s="209"/>
      <c r="L39" s="209"/>
      <c r="M39" s="209"/>
      <c r="N39" s="209"/>
      <c r="O39" s="209"/>
      <c r="P39" s="209"/>
      <c r="Q39" s="238"/>
    </row>
    <row r="40" spans="3:17" s="135" customFormat="1" ht="9.75" customHeight="1">
      <c r="C40" s="254"/>
      <c r="D40" s="209"/>
      <c r="E40" s="209"/>
      <c r="F40" s="209"/>
      <c r="G40" s="209"/>
      <c r="H40" s="209"/>
      <c r="I40" s="209"/>
      <c r="J40" s="209"/>
      <c r="K40" s="209"/>
      <c r="L40" s="209"/>
      <c r="M40" s="209"/>
      <c r="N40" s="209"/>
      <c r="O40" s="209"/>
      <c r="P40" s="209"/>
      <c r="Q40" s="238"/>
    </row>
    <row r="41" spans="3:17" s="135" customFormat="1" ht="9.75" customHeight="1">
      <c r="C41" s="254"/>
      <c r="D41" s="209"/>
      <c r="E41" s="209"/>
      <c r="F41" s="209"/>
      <c r="G41" s="209"/>
      <c r="H41" s="209"/>
      <c r="I41" s="209"/>
      <c r="J41" s="209"/>
      <c r="K41" s="209"/>
      <c r="L41" s="209"/>
      <c r="M41" s="209"/>
      <c r="N41" s="209"/>
      <c r="O41" s="209"/>
      <c r="P41" s="209"/>
      <c r="Q41" s="238"/>
    </row>
    <row r="42" spans="3:17" s="135" customFormat="1" ht="9.75" customHeight="1">
      <c r="C42" s="254"/>
      <c r="D42" s="209"/>
      <c r="E42" s="209"/>
      <c r="F42" s="209"/>
      <c r="G42" s="209"/>
      <c r="H42" s="209"/>
      <c r="I42" s="209"/>
      <c r="J42" s="209"/>
      <c r="K42" s="209"/>
      <c r="L42" s="209"/>
      <c r="M42" s="209"/>
      <c r="N42" s="209"/>
      <c r="O42" s="209"/>
      <c r="P42" s="209"/>
      <c r="Q42" s="238"/>
    </row>
    <row r="43" spans="3:17" s="144" customFormat="1" ht="71.25" customHeight="1">
      <c r="C43" s="241"/>
      <c r="D43" s="199"/>
      <c r="E43" s="199"/>
      <c r="F43" s="199"/>
      <c r="G43" s="199"/>
      <c r="H43" s="199"/>
      <c r="I43" s="199"/>
      <c r="J43" s="199"/>
      <c r="K43" s="199"/>
      <c r="L43" s="199"/>
      <c r="M43" s="199"/>
      <c r="N43" s="199"/>
      <c r="O43" s="199"/>
      <c r="P43" s="199"/>
      <c r="Q43" s="228"/>
    </row>
    <row r="44" spans="3:17" s="135" customFormat="1" ht="15.75" customHeight="1">
      <c r="C44" s="254"/>
      <c r="D44" s="209"/>
      <c r="E44" s="209"/>
      <c r="F44" s="209"/>
      <c r="G44" s="209"/>
      <c r="H44" s="209"/>
      <c r="I44" s="209"/>
      <c r="J44" s="209"/>
      <c r="K44" s="209"/>
      <c r="L44" s="209"/>
      <c r="M44" s="209"/>
      <c r="N44" s="209"/>
      <c r="O44" s="209"/>
      <c r="P44" s="209"/>
      <c r="Q44" s="238"/>
    </row>
    <row r="45" spans="3:17" s="135" customFormat="1" ht="15">
      <c r="C45" s="254"/>
      <c r="D45" s="209"/>
      <c r="E45" s="209"/>
      <c r="F45" s="209"/>
      <c r="G45" s="209"/>
      <c r="H45" s="209"/>
      <c r="I45" s="209"/>
      <c r="J45" s="209"/>
      <c r="K45" s="209"/>
      <c r="L45" s="209"/>
      <c r="M45" s="209"/>
      <c r="N45" s="209"/>
      <c r="O45" s="209"/>
      <c r="P45" s="209"/>
      <c r="Q45" s="238"/>
    </row>
    <row r="46" spans="3:17" s="135" customFormat="1" ht="24.75" customHeight="1">
      <c r="C46" s="254"/>
      <c r="D46" s="209"/>
      <c r="E46" s="209"/>
      <c r="F46" s="209"/>
      <c r="G46" s="209"/>
      <c r="H46" s="209"/>
      <c r="I46" s="209"/>
      <c r="J46" s="209"/>
      <c r="K46" s="209"/>
      <c r="L46" s="209"/>
      <c r="M46" s="209"/>
      <c r="N46" s="209"/>
      <c r="O46" s="209"/>
      <c r="P46" s="209"/>
      <c r="Q46" s="238"/>
    </row>
    <row r="47" spans="3:17" s="135" customFormat="1" ht="24.75" customHeight="1">
      <c r="C47" s="254"/>
      <c r="D47" s="209"/>
      <c r="E47" s="209"/>
      <c r="F47" s="209"/>
      <c r="G47" s="209"/>
      <c r="H47" s="209"/>
      <c r="I47" s="209"/>
      <c r="J47" s="209"/>
      <c r="K47" s="209"/>
      <c r="L47" s="209"/>
      <c r="M47" s="209"/>
      <c r="N47" s="209"/>
      <c r="O47" s="209"/>
      <c r="P47" s="209"/>
      <c r="Q47" s="238"/>
    </row>
    <row r="48" spans="3:17" s="135" customFormat="1" ht="15">
      <c r="C48" s="254"/>
      <c r="D48" s="209"/>
      <c r="E48" s="209"/>
      <c r="F48" s="209"/>
      <c r="G48" s="209"/>
      <c r="H48" s="209"/>
      <c r="I48" s="209"/>
      <c r="J48" s="209"/>
      <c r="K48" s="209"/>
      <c r="L48" s="209"/>
      <c r="M48" s="209"/>
      <c r="N48" s="209"/>
      <c r="O48" s="209"/>
      <c r="P48" s="209"/>
      <c r="Q48" s="238"/>
    </row>
    <row r="49" spans="3:17" s="135" customFormat="1" ht="270.75">
      <c r="C49" s="670" t="s">
        <v>271</v>
      </c>
      <c r="D49" s="671"/>
      <c r="E49" s="671"/>
      <c r="F49" s="671"/>
      <c r="G49" s="671"/>
      <c r="H49" s="671"/>
      <c r="I49" s="671"/>
      <c r="J49" s="671"/>
      <c r="K49" s="671"/>
      <c r="L49" s="671"/>
      <c r="M49" s="671"/>
      <c r="N49" s="671"/>
      <c r="O49" s="671"/>
      <c r="P49" s="671"/>
      <c r="Q49" s="672"/>
    </row>
    <row r="50" spans="3:17" s="135" customFormat="1" ht="15">
      <c r="C50" s="673"/>
      <c r="D50" s="674"/>
      <c r="E50" s="674"/>
      <c r="F50" s="674"/>
      <c r="G50" s="674"/>
      <c r="H50" s="674"/>
      <c r="I50" s="674"/>
      <c r="J50" s="674"/>
      <c r="K50" s="674"/>
      <c r="L50" s="674"/>
      <c r="M50" s="674"/>
      <c r="N50" s="674"/>
      <c r="O50" s="674"/>
      <c r="P50" s="674"/>
      <c r="Q50" s="675"/>
    </row>
    <row r="51" spans="3:17" s="135" customFormat="1" ht="15">
      <c r="C51" s="651"/>
      <c r="D51" s="652"/>
      <c r="E51" s="652"/>
      <c r="F51" s="652"/>
      <c r="G51" s="652"/>
      <c r="H51" s="652"/>
      <c r="I51" s="652"/>
      <c r="J51" s="652"/>
      <c r="K51" s="652"/>
      <c r="L51" s="652"/>
      <c r="M51" s="652"/>
      <c r="N51" s="652"/>
      <c r="O51" s="652"/>
      <c r="P51" s="652"/>
      <c r="Q51" s="646"/>
    </row>
    <row r="52" spans="3:17" s="135" customFormat="1" ht="15">
      <c r="C52" s="236"/>
      <c r="D52" s="178"/>
      <c r="E52" s="178"/>
      <c r="F52" s="178"/>
      <c r="G52" s="178"/>
      <c r="H52" s="178"/>
      <c r="I52" s="178"/>
      <c r="J52" s="178"/>
      <c r="K52" s="178"/>
      <c r="L52" s="178"/>
      <c r="M52" s="178"/>
      <c r="N52" s="178"/>
      <c r="O52" s="178"/>
      <c r="P52" s="178"/>
      <c r="Q52" s="237"/>
    </row>
    <row r="53" spans="3:17" s="135" customFormat="1" ht="16.5" thickBot="1">
      <c r="C53" s="227" t="s">
        <v>153</v>
      </c>
      <c r="D53" s="209"/>
      <c r="E53" s="209"/>
      <c r="F53" s="209"/>
      <c r="G53" s="209"/>
      <c r="H53" s="209"/>
      <c r="I53" s="209"/>
      <c r="J53" s="209"/>
      <c r="K53" s="209"/>
      <c r="L53" s="209"/>
      <c r="M53" s="209"/>
      <c r="N53" s="209"/>
      <c r="O53" s="209"/>
      <c r="P53" s="209"/>
      <c r="Q53" s="238"/>
    </row>
    <row r="54" spans="2:17" ht="30">
      <c r="B54" s="250"/>
      <c r="C54" s="239" t="s">
        <v>198</v>
      </c>
      <c r="D54" s="194" t="s">
        <v>75</v>
      </c>
      <c r="E54" s="195" t="s">
        <v>199</v>
      </c>
      <c r="F54" s="194" t="s">
        <v>46</v>
      </c>
      <c r="G54" s="195" t="s">
        <v>200</v>
      </c>
      <c r="H54" s="194" t="s">
        <v>46</v>
      </c>
      <c r="I54" s="195" t="s">
        <v>201</v>
      </c>
      <c r="J54" s="194" t="s">
        <v>46</v>
      </c>
      <c r="K54" s="195" t="s">
        <v>202</v>
      </c>
      <c r="L54" s="194" t="s">
        <v>46</v>
      </c>
      <c r="M54" s="195" t="s">
        <v>203</v>
      </c>
      <c r="N54" s="194" t="s">
        <v>46</v>
      </c>
      <c r="O54" s="195" t="s">
        <v>204</v>
      </c>
      <c r="P54" s="196" t="s">
        <v>46</v>
      </c>
      <c r="Q54" s="240" t="s">
        <v>205</v>
      </c>
    </row>
    <row r="55" spans="2:17" ht="15">
      <c r="B55" s="135"/>
      <c r="C55" s="241"/>
      <c r="D55" s="197"/>
      <c r="E55" s="198"/>
      <c r="F55" s="197"/>
      <c r="G55" s="198"/>
      <c r="H55" s="197"/>
      <c r="I55" s="198"/>
      <c r="J55" s="197"/>
      <c r="K55" s="198"/>
      <c r="L55" s="197"/>
      <c r="M55" s="198"/>
      <c r="N55" s="197"/>
      <c r="O55" s="198"/>
      <c r="P55" s="199"/>
      <c r="Q55" s="228"/>
    </row>
    <row r="56" spans="2:17" ht="105" customHeight="1" thickBot="1">
      <c r="B56" s="144"/>
      <c r="C56" s="242" t="s">
        <v>76</v>
      </c>
      <c r="D56" s="650" t="s">
        <v>77</v>
      </c>
      <c r="E56" s="644"/>
      <c r="F56" s="650" t="s">
        <v>78</v>
      </c>
      <c r="G56" s="644"/>
      <c r="H56" s="650" t="s">
        <v>177</v>
      </c>
      <c r="I56" s="644"/>
      <c r="J56" s="650" t="s">
        <v>81</v>
      </c>
      <c r="K56" s="644"/>
      <c r="L56" s="650" t="s">
        <v>178</v>
      </c>
      <c r="M56" s="644"/>
      <c r="N56" s="650" t="s">
        <v>79</v>
      </c>
      <c r="O56" s="644"/>
      <c r="P56" s="650" t="s">
        <v>80</v>
      </c>
      <c r="Q56" s="635"/>
    </row>
    <row r="57" spans="2:17" ht="18" customHeight="1" thickBot="1">
      <c r="B57" s="144"/>
      <c r="C57" s="242"/>
      <c r="D57" s="179"/>
      <c r="E57" s="179"/>
      <c r="F57" s="179"/>
      <c r="G57" s="179"/>
      <c r="H57" s="179"/>
      <c r="I57" s="179"/>
      <c r="J57" s="179"/>
      <c r="K57" s="179"/>
      <c r="L57" s="179"/>
      <c r="M57" s="179"/>
      <c r="N57" s="179"/>
      <c r="O57" s="179"/>
      <c r="P57" s="179"/>
      <c r="Q57" s="172"/>
    </row>
    <row r="58" spans="2:17" ht="15.75" thickBot="1">
      <c r="B58" s="209"/>
      <c r="C58" s="255"/>
      <c r="D58" s="256">
        <v>40634</v>
      </c>
      <c r="E58" s="256">
        <v>40664</v>
      </c>
      <c r="F58" s="256">
        <v>40695</v>
      </c>
      <c r="G58" s="256">
        <v>40725</v>
      </c>
      <c r="H58" s="256">
        <v>40756</v>
      </c>
      <c r="I58" s="256">
        <v>40787</v>
      </c>
      <c r="J58" s="256">
        <v>40817</v>
      </c>
      <c r="K58" s="256">
        <v>40848</v>
      </c>
      <c r="L58" s="256">
        <v>40878</v>
      </c>
      <c r="M58" s="256">
        <v>40909</v>
      </c>
      <c r="N58" s="256">
        <v>40940</v>
      </c>
      <c r="O58" s="256">
        <v>40969</v>
      </c>
      <c r="P58" s="636" t="s">
        <v>45</v>
      </c>
      <c r="Q58" s="676"/>
    </row>
    <row r="59" spans="2:17" ht="15">
      <c r="B59" s="209"/>
      <c r="C59" s="257" t="str">
        <f>C54</f>
        <v>EnCOBBIPt</v>
      </c>
      <c r="D59" s="184">
        <f>SUM(D61:D67)</f>
        <v>-422426</v>
      </c>
      <c r="E59" s="184">
        <f>SUM(E61:E67)</f>
        <v>-856046</v>
      </c>
      <c r="F59" s="184">
        <f>SUM(F61:F67)</f>
        <v>-28662</v>
      </c>
      <c r="G59" s="184"/>
      <c r="H59" s="184"/>
      <c r="I59" s="184"/>
      <c r="J59" s="184"/>
      <c r="K59" s="184"/>
      <c r="L59" s="184"/>
      <c r="M59" s="184"/>
      <c r="N59" s="184"/>
      <c r="O59" s="184"/>
      <c r="P59" s="677">
        <f>SUM(D59:O59)</f>
        <v>-1307134</v>
      </c>
      <c r="Q59" s="678"/>
    </row>
    <row r="60" spans="2:17" ht="28.5">
      <c r="B60" s="209"/>
      <c r="C60" s="258" t="s">
        <v>98</v>
      </c>
      <c r="D60" s="185">
        <f>D59</f>
        <v>-422426</v>
      </c>
      <c r="E60" s="185">
        <f>D60+E59</f>
        <v>-1278472</v>
      </c>
      <c r="F60" s="185">
        <f>E60+F59</f>
        <v>-1307134</v>
      </c>
      <c r="G60" s="185">
        <f aca="true" t="shared" si="0" ref="G60:O60">IF(G59="","",F60+G59)</f>
      </c>
      <c r="H60" s="185">
        <f t="shared" si="0"/>
      </c>
      <c r="I60" s="185">
        <f t="shared" si="0"/>
      </c>
      <c r="J60" s="185">
        <f t="shared" si="0"/>
      </c>
      <c r="K60" s="185">
        <f t="shared" si="0"/>
      </c>
      <c r="L60" s="185">
        <f t="shared" si="0"/>
      </c>
      <c r="M60" s="185">
        <f t="shared" si="0"/>
      </c>
      <c r="N60" s="185">
        <f t="shared" si="0"/>
      </c>
      <c r="O60" s="185">
        <f t="shared" si="0"/>
      </c>
      <c r="P60" s="259"/>
      <c r="Q60" s="260"/>
    </row>
    <row r="61" spans="2:17" ht="15">
      <c r="B61" s="209"/>
      <c r="C61" s="261" t="str">
        <f>E54</f>
        <v>EnCOBBCt</v>
      </c>
      <c r="D61" s="186">
        <v>0</v>
      </c>
      <c r="E61" s="186">
        <v>0</v>
      </c>
      <c r="F61" s="187">
        <v>0</v>
      </c>
      <c r="G61" s="210"/>
      <c r="H61" s="210"/>
      <c r="I61" s="210"/>
      <c r="J61" s="210"/>
      <c r="K61" s="210"/>
      <c r="L61" s="210"/>
      <c r="M61" s="182"/>
      <c r="N61" s="182"/>
      <c r="O61" s="182"/>
      <c r="P61" s="642">
        <f aca="true" t="shared" si="1" ref="P61:P67">SUM(D61:O61)</f>
        <v>0</v>
      </c>
      <c r="Q61" s="643"/>
    </row>
    <row r="62" spans="2:17" ht="15">
      <c r="B62" s="209"/>
      <c r="C62" s="261" t="str">
        <f>G54</f>
        <v>AOEnCRDt</v>
      </c>
      <c r="D62" s="187">
        <v>-7697</v>
      </c>
      <c r="E62" s="187">
        <v>-6003</v>
      </c>
      <c r="F62" s="187">
        <v>-5931</v>
      </c>
      <c r="G62" s="210"/>
      <c r="H62" s="210"/>
      <c r="I62" s="210"/>
      <c r="J62" s="182"/>
      <c r="K62" s="182"/>
      <c r="L62" s="182"/>
      <c r="M62" s="182"/>
      <c r="N62" s="182"/>
      <c r="O62" s="182"/>
      <c r="P62" s="642">
        <f t="shared" si="1"/>
        <v>-19631</v>
      </c>
      <c r="Q62" s="643"/>
    </row>
    <row r="63" spans="2:17" ht="15">
      <c r="B63" s="209"/>
      <c r="C63" s="261" t="str">
        <f>I54</f>
        <v>REVICt</v>
      </c>
      <c r="D63" s="187">
        <v>-14146</v>
      </c>
      <c r="E63" s="187">
        <v>-14867</v>
      </c>
      <c r="F63" s="187">
        <v>-7794</v>
      </c>
      <c r="G63" s="210"/>
      <c r="H63" s="210"/>
      <c r="I63" s="210"/>
      <c r="J63" s="182"/>
      <c r="K63" s="182"/>
      <c r="L63" s="182"/>
      <c r="M63" s="182"/>
      <c r="N63" s="182"/>
      <c r="O63" s="182"/>
      <c r="P63" s="642">
        <f t="shared" si="1"/>
        <v>-36807</v>
      </c>
      <c r="Q63" s="643"/>
    </row>
    <row r="64" spans="2:17" ht="28.5">
      <c r="B64" s="209"/>
      <c r="C64" s="261" t="str">
        <f>K54</f>
        <v>(ANOEnCRt - EnCNOIRt)</v>
      </c>
      <c r="D64" s="187">
        <v>0</v>
      </c>
      <c r="E64" s="187">
        <v>0</v>
      </c>
      <c r="F64" s="187">
        <v>0</v>
      </c>
      <c r="G64" s="210"/>
      <c r="H64" s="210"/>
      <c r="I64" s="210"/>
      <c r="J64" s="188"/>
      <c r="K64" s="188"/>
      <c r="L64" s="188"/>
      <c r="M64" s="188"/>
      <c r="N64" s="188"/>
      <c r="O64" s="188"/>
      <c r="P64" s="642">
        <f t="shared" si="1"/>
        <v>0</v>
      </c>
      <c r="Q64" s="643"/>
    </row>
    <row r="65" spans="2:17" ht="15">
      <c r="B65" s="209"/>
      <c r="C65" s="261" t="str">
        <f>M54</f>
        <v>RCORt</v>
      </c>
      <c r="D65" s="187">
        <v>-10738</v>
      </c>
      <c r="E65" s="187">
        <v>-35510</v>
      </c>
      <c r="F65" s="187">
        <v>-14937</v>
      </c>
      <c r="G65" s="210"/>
      <c r="H65" s="210"/>
      <c r="I65" s="210"/>
      <c r="J65" s="182"/>
      <c r="K65" s="182"/>
      <c r="L65" s="182"/>
      <c r="M65" s="182"/>
      <c r="N65" s="182"/>
      <c r="O65" s="182"/>
      <c r="P65" s="642">
        <f t="shared" si="1"/>
        <v>-61185</v>
      </c>
      <c r="Q65" s="643"/>
    </row>
    <row r="66" spans="2:17" ht="15">
      <c r="B66" s="209"/>
      <c r="C66" s="262" t="str">
        <f>O54</f>
        <v>RLOCt</v>
      </c>
      <c r="D66" s="189">
        <v>-389845</v>
      </c>
      <c r="E66" s="189">
        <v>-799666</v>
      </c>
      <c r="F66" s="180">
        <v>0</v>
      </c>
      <c r="G66" s="181"/>
      <c r="H66" s="181"/>
      <c r="I66" s="181"/>
      <c r="J66" s="182"/>
      <c r="K66" s="190"/>
      <c r="L66" s="182"/>
      <c r="M66" s="182"/>
      <c r="N66" s="182"/>
      <c r="O66" s="182"/>
      <c r="P66" s="642">
        <f t="shared" si="1"/>
        <v>-1189511</v>
      </c>
      <c r="Q66" s="643"/>
    </row>
    <row r="67" spans="2:17" ht="15.75" thickBot="1">
      <c r="B67" s="209"/>
      <c r="C67" s="263" t="str">
        <f>Q54</f>
        <v>RADDt</v>
      </c>
      <c r="D67" s="191">
        <v>0</v>
      </c>
      <c r="E67" s="191">
        <v>0</v>
      </c>
      <c r="F67" s="191">
        <v>0</v>
      </c>
      <c r="G67" s="192"/>
      <c r="H67" s="192"/>
      <c r="I67" s="192"/>
      <c r="J67" s="193"/>
      <c r="K67" s="193"/>
      <c r="L67" s="193"/>
      <c r="M67" s="193"/>
      <c r="N67" s="193"/>
      <c r="O67" s="193"/>
      <c r="P67" s="679">
        <f t="shared" si="1"/>
        <v>0</v>
      </c>
      <c r="Q67" s="680"/>
    </row>
    <row r="68" spans="2:17" ht="15">
      <c r="B68" s="209"/>
      <c r="C68" s="243"/>
      <c r="D68" s="180"/>
      <c r="E68" s="180"/>
      <c r="F68" s="180"/>
      <c r="G68" s="181"/>
      <c r="H68" s="181"/>
      <c r="I68" s="181"/>
      <c r="J68" s="182"/>
      <c r="K68" s="182"/>
      <c r="L68" s="182"/>
      <c r="M68" s="182"/>
      <c r="N68" s="182"/>
      <c r="O68" s="182"/>
      <c r="P68" s="180"/>
      <c r="Q68" s="244"/>
    </row>
    <row r="69" spans="3:17" ht="11.25">
      <c r="C69" s="245"/>
      <c r="D69" s="212"/>
      <c r="E69" s="212"/>
      <c r="F69" s="212"/>
      <c r="G69" s="212"/>
      <c r="H69" s="212"/>
      <c r="I69" s="212"/>
      <c r="J69" s="212"/>
      <c r="K69" s="212"/>
      <c r="L69" s="212"/>
      <c r="M69" s="212"/>
      <c r="N69" s="212"/>
      <c r="O69" s="212"/>
      <c r="P69" s="212"/>
      <c r="Q69" s="246"/>
    </row>
    <row r="70" spans="3:17" ht="19.5" customHeight="1">
      <c r="C70" s="245"/>
      <c r="D70" s="212"/>
      <c r="E70" s="212"/>
      <c r="F70" s="212"/>
      <c r="G70" s="212"/>
      <c r="H70" s="212"/>
      <c r="I70" s="212"/>
      <c r="J70" s="212"/>
      <c r="K70" s="212"/>
      <c r="L70" s="212"/>
      <c r="M70" s="212"/>
      <c r="N70" s="212"/>
      <c r="O70" s="212"/>
      <c r="P70" s="212"/>
      <c r="Q70" s="246"/>
    </row>
    <row r="71" spans="3:20" ht="19.5" customHeight="1">
      <c r="C71" s="245"/>
      <c r="D71" s="212"/>
      <c r="E71" s="212"/>
      <c r="F71" s="212"/>
      <c r="G71" s="212"/>
      <c r="H71" s="212"/>
      <c r="I71" s="212"/>
      <c r="J71" s="212"/>
      <c r="K71" s="212"/>
      <c r="L71" s="212"/>
      <c r="M71" s="212"/>
      <c r="N71" s="212"/>
      <c r="O71" s="212"/>
      <c r="P71" s="212"/>
      <c r="Q71" s="246"/>
      <c r="T71" s="264"/>
    </row>
    <row r="72" spans="3:20" ht="19.5" customHeight="1">
      <c r="C72" s="245"/>
      <c r="D72" s="212"/>
      <c r="E72" s="212"/>
      <c r="F72" s="212"/>
      <c r="G72" s="212"/>
      <c r="H72" s="212"/>
      <c r="I72" s="212"/>
      <c r="J72" s="212"/>
      <c r="K72" s="212"/>
      <c r="L72" s="212"/>
      <c r="M72" s="212"/>
      <c r="N72" s="212"/>
      <c r="O72" s="212"/>
      <c r="P72" s="212"/>
      <c r="Q72" s="246"/>
      <c r="T72" s="142"/>
    </row>
    <row r="73" spans="3:20" ht="19.5" customHeight="1">
      <c r="C73" s="245"/>
      <c r="D73" s="212"/>
      <c r="E73" s="212"/>
      <c r="F73" s="212"/>
      <c r="G73" s="212"/>
      <c r="H73" s="212"/>
      <c r="I73" s="212"/>
      <c r="J73" s="212"/>
      <c r="K73" s="212"/>
      <c r="L73" s="212"/>
      <c r="M73" s="212"/>
      <c r="N73" s="212"/>
      <c r="O73" s="212"/>
      <c r="P73" s="212"/>
      <c r="Q73" s="246"/>
      <c r="T73" s="265"/>
    </row>
    <row r="74" spans="3:20" ht="19.5" customHeight="1">
      <c r="C74" s="245"/>
      <c r="D74" s="212"/>
      <c r="E74" s="212"/>
      <c r="F74" s="212"/>
      <c r="G74" s="212"/>
      <c r="H74" s="212"/>
      <c r="I74" s="212"/>
      <c r="J74" s="212"/>
      <c r="K74" s="212"/>
      <c r="L74" s="212"/>
      <c r="M74" s="212"/>
      <c r="N74" s="212"/>
      <c r="O74" s="212"/>
      <c r="P74" s="212"/>
      <c r="Q74" s="246"/>
      <c r="T74" s="266"/>
    </row>
    <row r="75" spans="3:20" ht="19.5" customHeight="1">
      <c r="C75" s="245"/>
      <c r="D75" s="212"/>
      <c r="E75" s="212"/>
      <c r="F75" s="212"/>
      <c r="G75" s="212"/>
      <c r="H75" s="212"/>
      <c r="I75" s="212"/>
      <c r="J75" s="212"/>
      <c r="K75" s="212"/>
      <c r="L75" s="212"/>
      <c r="M75" s="212"/>
      <c r="N75" s="212"/>
      <c r="O75" s="212"/>
      <c r="P75" s="212"/>
      <c r="Q75" s="246"/>
      <c r="T75" s="264"/>
    </row>
    <row r="76" spans="3:20" ht="19.5" customHeight="1">
      <c r="C76" s="245"/>
      <c r="D76" s="212"/>
      <c r="E76" s="212"/>
      <c r="F76" s="212"/>
      <c r="G76" s="212"/>
      <c r="H76" s="212"/>
      <c r="I76" s="212"/>
      <c r="J76" s="212"/>
      <c r="K76" s="212"/>
      <c r="L76" s="212"/>
      <c r="M76" s="212"/>
      <c r="N76" s="212"/>
      <c r="O76" s="212"/>
      <c r="P76" s="212"/>
      <c r="Q76" s="246"/>
      <c r="T76" s="267"/>
    </row>
    <row r="77" spans="3:20" ht="19.5" customHeight="1">
      <c r="C77" s="245"/>
      <c r="D77" s="212"/>
      <c r="E77" s="212"/>
      <c r="F77" s="212"/>
      <c r="G77" s="212"/>
      <c r="H77" s="212"/>
      <c r="I77" s="212"/>
      <c r="J77" s="212"/>
      <c r="K77" s="212"/>
      <c r="L77" s="212"/>
      <c r="M77" s="212"/>
      <c r="N77" s="212"/>
      <c r="O77" s="212"/>
      <c r="P77" s="212"/>
      <c r="Q77" s="246"/>
      <c r="T77" s="265"/>
    </row>
    <row r="78" spans="3:20" ht="19.5" customHeight="1">
      <c r="C78" s="245"/>
      <c r="D78" s="212"/>
      <c r="E78" s="212"/>
      <c r="F78" s="212"/>
      <c r="G78" s="212"/>
      <c r="H78" s="212"/>
      <c r="I78" s="212"/>
      <c r="J78" s="212"/>
      <c r="K78" s="212"/>
      <c r="L78" s="212"/>
      <c r="M78" s="212"/>
      <c r="N78" s="212"/>
      <c r="O78" s="212"/>
      <c r="P78" s="212"/>
      <c r="Q78" s="246"/>
      <c r="T78" s="265"/>
    </row>
    <row r="79" spans="3:20" ht="19.5" customHeight="1">
      <c r="C79" s="245"/>
      <c r="D79" s="212"/>
      <c r="E79" s="212"/>
      <c r="F79" s="212"/>
      <c r="G79" s="212"/>
      <c r="H79" s="212"/>
      <c r="I79" s="212"/>
      <c r="J79" s="212"/>
      <c r="K79" s="212"/>
      <c r="L79" s="212"/>
      <c r="M79" s="212"/>
      <c r="N79" s="212"/>
      <c r="O79" s="212"/>
      <c r="P79" s="212"/>
      <c r="Q79" s="246"/>
      <c r="T79" s="265" t="s">
        <v>23</v>
      </c>
    </row>
    <row r="80" spans="3:20" ht="19.5" customHeight="1">
      <c r="C80" s="245"/>
      <c r="D80" s="212"/>
      <c r="E80" s="212"/>
      <c r="F80" s="212"/>
      <c r="G80" s="212"/>
      <c r="H80" s="212"/>
      <c r="I80" s="212"/>
      <c r="J80" s="212"/>
      <c r="K80" s="212"/>
      <c r="L80" s="212"/>
      <c r="M80" s="212"/>
      <c r="N80" s="212"/>
      <c r="O80" s="212"/>
      <c r="P80" s="212"/>
      <c r="Q80" s="246"/>
      <c r="T80" s="267"/>
    </row>
    <row r="81" spans="3:20" ht="19.5" customHeight="1">
      <c r="C81" s="245"/>
      <c r="D81" s="212"/>
      <c r="E81" s="212"/>
      <c r="F81" s="212"/>
      <c r="G81" s="212"/>
      <c r="H81" s="212"/>
      <c r="I81" s="212"/>
      <c r="J81" s="212"/>
      <c r="K81" s="212"/>
      <c r="L81" s="212"/>
      <c r="M81" s="212"/>
      <c r="N81" s="212"/>
      <c r="O81" s="212"/>
      <c r="P81" s="212"/>
      <c r="Q81" s="246"/>
      <c r="T81" s="265"/>
    </row>
    <row r="82" spans="3:20" ht="19.5" customHeight="1">
      <c r="C82" s="245"/>
      <c r="D82" s="212"/>
      <c r="E82" s="212"/>
      <c r="F82" s="212"/>
      <c r="G82" s="212"/>
      <c r="H82" s="212"/>
      <c r="I82" s="212"/>
      <c r="J82" s="212"/>
      <c r="K82" s="212"/>
      <c r="L82" s="212"/>
      <c r="M82" s="212"/>
      <c r="N82" s="212"/>
      <c r="O82" s="212"/>
      <c r="P82" s="212"/>
      <c r="Q82" s="246"/>
      <c r="T82" s="265"/>
    </row>
    <row r="83" spans="3:20" ht="19.5" customHeight="1">
      <c r="C83" s="245"/>
      <c r="D83" s="212"/>
      <c r="E83" s="212"/>
      <c r="F83" s="212"/>
      <c r="G83" s="212"/>
      <c r="H83" s="212"/>
      <c r="I83" s="212"/>
      <c r="J83" s="212"/>
      <c r="K83" s="212"/>
      <c r="L83" s="212"/>
      <c r="M83" s="212"/>
      <c r="N83" s="212"/>
      <c r="O83" s="212"/>
      <c r="P83" s="212"/>
      <c r="Q83" s="246"/>
      <c r="T83" s="265"/>
    </row>
    <row r="84" spans="3:20" ht="19.5" customHeight="1">
      <c r="C84" s="245"/>
      <c r="D84" s="212"/>
      <c r="E84" s="212"/>
      <c r="F84" s="212"/>
      <c r="G84" s="212"/>
      <c r="H84" s="212"/>
      <c r="I84" s="212"/>
      <c r="J84" s="212"/>
      <c r="K84" s="212"/>
      <c r="L84" s="212"/>
      <c r="M84" s="212"/>
      <c r="N84" s="212"/>
      <c r="O84" s="212"/>
      <c r="P84" s="212"/>
      <c r="Q84" s="246"/>
      <c r="T84" s="267"/>
    </row>
    <row r="85" spans="3:20" ht="19.5" customHeight="1">
      <c r="C85" s="245"/>
      <c r="D85" s="212"/>
      <c r="E85" s="212"/>
      <c r="F85" s="212"/>
      <c r="G85" s="212"/>
      <c r="H85" s="212"/>
      <c r="I85" s="212"/>
      <c r="J85" s="212"/>
      <c r="K85" s="212"/>
      <c r="L85" s="212"/>
      <c r="M85" s="212"/>
      <c r="N85" s="212"/>
      <c r="O85" s="212"/>
      <c r="P85" s="212"/>
      <c r="Q85" s="246"/>
      <c r="T85" s="265"/>
    </row>
    <row r="86" spans="3:20" ht="19.5" customHeight="1">
      <c r="C86" s="245"/>
      <c r="D86" s="212"/>
      <c r="E86" s="212"/>
      <c r="F86" s="212"/>
      <c r="G86" s="212"/>
      <c r="H86" s="212"/>
      <c r="I86" s="212"/>
      <c r="J86" s="212"/>
      <c r="K86" s="212"/>
      <c r="L86" s="212"/>
      <c r="M86" s="212"/>
      <c r="N86" s="212"/>
      <c r="O86" s="212"/>
      <c r="P86" s="212"/>
      <c r="Q86" s="246"/>
      <c r="T86" s="265"/>
    </row>
    <row r="87" spans="3:20" ht="19.5" customHeight="1">
      <c r="C87" s="245"/>
      <c r="D87" s="212"/>
      <c r="E87" s="212"/>
      <c r="F87" s="212"/>
      <c r="G87" s="212"/>
      <c r="H87" s="212"/>
      <c r="I87" s="212"/>
      <c r="J87" s="212"/>
      <c r="K87" s="212"/>
      <c r="L87" s="212"/>
      <c r="M87" s="212"/>
      <c r="N87" s="212"/>
      <c r="O87" s="212"/>
      <c r="P87" s="212"/>
      <c r="Q87" s="246"/>
      <c r="T87" s="265"/>
    </row>
    <row r="88" spans="3:20" ht="19.5" customHeight="1">
      <c r="C88" s="245"/>
      <c r="D88" s="212"/>
      <c r="E88" s="212"/>
      <c r="F88" s="212"/>
      <c r="G88" s="212"/>
      <c r="H88" s="212"/>
      <c r="I88" s="212"/>
      <c r="J88" s="212"/>
      <c r="K88" s="212"/>
      <c r="L88" s="212"/>
      <c r="M88" s="212"/>
      <c r="N88" s="212"/>
      <c r="O88" s="212"/>
      <c r="P88" s="212"/>
      <c r="Q88" s="246"/>
      <c r="T88" s="267"/>
    </row>
    <row r="89" spans="3:20" ht="19.5" customHeight="1">
      <c r="C89" s="245"/>
      <c r="D89" s="212"/>
      <c r="E89" s="212"/>
      <c r="F89" s="212"/>
      <c r="G89" s="212"/>
      <c r="H89" s="212"/>
      <c r="I89" s="212"/>
      <c r="J89" s="212"/>
      <c r="K89" s="212"/>
      <c r="L89" s="212"/>
      <c r="M89" s="212"/>
      <c r="N89" s="212"/>
      <c r="O89" s="212"/>
      <c r="P89" s="212"/>
      <c r="Q89" s="246"/>
      <c r="T89" s="265"/>
    </row>
    <row r="90" spans="3:17" ht="19.5" customHeight="1">
      <c r="C90" s="245"/>
      <c r="D90" s="212"/>
      <c r="E90" s="212"/>
      <c r="F90" s="212"/>
      <c r="G90" s="212"/>
      <c r="H90" s="212"/>
      <c r="I90" s="212"/>
      <c r="J90" s="212"/>
      <c r="K90" s="212"/>
      <c r="L90" s="212"/>
      <c r="M90" s="212"/>
      <c r="N90" s="212"/>
      <c r="O90" s="212"/>
      <c r="P90" s="212"/>
      <c r="Q90" s="246"/>
    </row>
    <row r="91" spans="3:17" ht="19.5" customHeight="1">
      <c r="C91" s="245"/>
      <c r="D91" s="212"/>
      <c r="E91" s="212"/>
      <c r="F91" s="212"/>
      <c r="G91" s="212"/>
      <c r="H91" s="212"/>
      <c r="I91" s="212"/>
      <c r="J91" s="212"/>
      <c r="K91" s="212"/>
      <c r="L91" s="212"/>
      <c r="M91" s="212"/>
      <c r="N91" s="212"/>
      <c r="O91" s="212"/>
      <c r="P91" s="212"/>
      <c r="Q91" s="246"/>
    </row>
    <row r="92" spans="3:17" ht="19.5" customHeight="1">
      <c r="C92" s="245"/>
      <c r="D92" s="212"/>
      <c r="E92" s="212"/>
      <c r="F92" s="212"/>
      <c r="G92" s="212"/>
      <c r="H92" s="212"/>
      <c r="I92" s="212"/>
      <c r="J92" s="212"/>
      <c r="K92" s="212"/>
      <c r="L92" s="212"/>
      <c r="M92" s="212"/>
      <c r="N92" s="212"/>
      <c r="O92" s="212"/>
      <c r="P92" s="212"/>
      <c r="Q92" s="246"/>
    </row>
    <row r="93" spans="3:17" ht="19.5" customHeight="1">
      <c r="C93" s="245"/>
      <c r="D93" s="212"/>
      <c r="E93" s="212"/>
      <c r="F93" s="212"/>
      <c r="G93" s="212"/>
      <c r="H93" s="212"/>
      <c r="I93" s="212"/>
      <c r="J93" s="212"/>
      <c r="K93" s="212"/>
      <c r="L93" s="212"/>
      <c r="M93" s="212"/>
      <c r="N93" s="212"/>
      <c r="O93" s="212"/>
      <c r="P93" s="212"/>
      <c r="Q93" s="246"/>
    </row>
    <row r="94" spans="3:17" ht="11.25">
      <c r="C94" s="245"/>
      <c r="D94" s="212"/>
      <c r="E94" s="212"/>
      <c r="F94" s="212"/>
      <c r="G94" s="212"/>
      <c r="H94" s="212"/>
      <c r="I94" s="212"/>
      <c r="J94" s="212"/>
      <c r="K94" s="212"/>
      <c r="L94" s="212"/>
      <c r="M94" s="212"/>
      <c r="N94" s="212"/>
      <c r="O94" s="212"/>
      <c r="P94" s="212"/>
      <c r="Q94" s="246"/>
    </row>
    <row r="95" spans="3:17" ht="12" thickBot="1">
      <c r="C95" s="247"/>
      <c r="D95" s="248"/>
      <c r="E95" s="248"/>
      <c r="F95" s="248"/>
      <c r="G95" s="248"/>
      <c r="H95" s="248"/>
      <c r="I95" s="248"/>
      <c r="J95" s="248"/>
      <c r="K95" s="248"/>
      <c r="L95" s="248"/>
      <c r="M95" s="248"/>
      <c r="N95" s="248"/>
      <c r="O95" s="248"/>
      <c r="P95" s="248"/>
      <c r="Q95" s="249"/>
    </row>
    <row r="96" ht="12" thickTop="1"/>
  </sheetData>
  <sheetProtection/>
  <mergeCells count="21">
    <mergeCell ref="P67:Q67"/>
    <mergeCell ref="P63:Q63"/>
    <mergeCell ref="P64:Q64"/>
    <mergeCell ref="P65:Q65"/>
    <mergeCell ref="P66:Q66"/>
    <mergeCell ref="H56:I56"/>
    <mergeCell ref="P62:Q62"/>
    <mergeCell ref="P56:Q56"/>
    <mergeCell ref="P58:Q58"/>
    <mergeCell ref="P61:Q61"/>
    <mergeCell ref="P59:Q59"/>
    <mergeCell ref="D4:Q4"/>
    <mergeCell ref="C49:Q51"/>
    <mergeCell ref="L6:Q6"/>
    <mergeCell ref="N56:O56"/>
    <mergeCell ref="D56:E56"/>
    <mergeCell ref="F56:G56"/>
    <mergeCell ref="L8:Q8"/>
    <mergeCell ref="L10:Q14"/>
    <mergeCell ref="L56:M56"/>
    <mergeCell ref="J56:K56"/>
  </mergeCells>
  <conditionalFormatting sqref="D59:P65">
    <cfRule type="cellIs" priority="1" dxfId="0" operator="lessThan"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8" scale="59" r:id="rId2"/>
  <headerFooter alignWithMargins="0">
    <oddFooter>&amp;CPage &amp;P of &amp;N</oddFooter>
  </headerFooter>
  <rowBreaks count="1" manualBreakCount="1">
    <brk id="52" min="2" max="16"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B1:T103"/>
  <sheetViews>
    <sheetView zoomScaleSheetLayoutView="75" workbookViewId="0" topLeftCell="A79">
      <selection activeCell="B2" sqref="B2"/>
    </sheetView>
  </sheetViews>
  <sheetFormatPr defaultColWidth="9.140625" defaultRowHeight="12.75"/>
  <cols>
    <col min="1" max="1" width="1.57421875" style="200" customWidth="1"/>
    <col min="2" max="2" width="15.140625" style="200" customWidth="1"/>
    <col min="3" max="3" width="11.28125" style="200" customWidth="1"/>
    <col min="4" max="4" width="11.00390625" style="200" customWidth="1"/>
    <col min="5" max="5" width="12.140625" style="200" customWidth="1"/>
    <col min="6" max="6" width="12.421875" style="200" customWidth="1"/>
    <col min="7" max="7" width="11.57421875" style="200" customWidth="1"/>
    <col min="8" max="8" width="12.140625" style="200" customWidth="1"/>
    <col min="9" max="9" width="11.8515625" style="200" customWidth="1"/>
    <col min="10" max="10" width="13.8515625" style="200" customWidth="1"/>
    <col min="11" max="11" width="59.7109375" style="200" customWidth="1"/>
    <col min="12" max="12" width="13.57421875" style="200" customWidth="1"/>
    <col min="13" max="14" width="8.7109375" style="200" customWidth="1"/>
    <col min="15" max="15" width="5.421875" style="200" bestFit="1" customWidth="1"/>
    <col min="16" max="16" width="10.57421875" style="200" customWidth="1"/>
    <col min="17" max="17" width="10.421875" style="200" customWidth="1"/>
    <col min="18" max="16384" width="9.140625" style="200" customWidth="1"/>
  </cols>
  <sheetData>
    <row r="1" spans="2:11" ht="21.75" customHeight="1" thickTop="1">
      <c r="B1" s="296" t="s">
        <v>73</v>
      </c>
      <c r="C1" s="297"/>
      <c r="D1" s="297"/>
      <c r="E1" s="297"/>
      <c r="F1" s="297"/>
      <c r="G1" s="297"/>
      <c r="H1" s="297"/>
      <c r="I1" s="297"/>
      <c r="J1" s="297"/>
      <c r="K1" s="681"/>
    </row>
    <row r="2" spans="2:11" ht="11.25">
      <c r="B2" s="245"/>
      <c r="C2" s="212"/>
      <c r="D2" s="212"/>
      <c r="E2" s="212"/>
      <c r="F2" s="212"/>
      <c r="G2" s="212"/>
      <c r="H2" s="212"/>
      <c r="I2" s="212"/>
      <c r="J2" s="212"/>
      <c r="K2" s="682"/>
    </row>
    <row r="3" spans="2:11" ht="11.25">
      <c r="B3" s="245"/>
      <c r="C3" s="212"/>
      <c r="D3" s="212"/>
      <c r="E3" s="212"/>
      <c r="F3" s="212"/>
      <c r="G3" s="212"/>
      <c r="H3" s="212"/>
      <c r="I3" s="212"/>
      <c r="J3" s="212"/>
      <c r="K3" s="246"/>
    </row>
    <row r="4" spans="2:11" ht="15.75">
      <c r="B4" s="227" t="s">
        <v>154</v>
      </c>
      <c r="C4" s="212"/>
      <c r="D4" s="212"/>
      <c r="E4" s="212"/>
      <c r="F4" s="212"/>
      <c r="G4" s="212"/>
      <c r="H4" s="212"/>
      <c r="I4" s="212"/>
      <c r="J4" s="212"/>
      <c r="K4" s="246"/>
    </row>
    <row r="5" spans="2:11" ht="12" thickBot="1">
      <c r="B5" s="245"/>
      <c r="C5" s="212"/>
      <c r="D5" s="212"/>
      <c r="E5" s="212"/>
      <c r="F5" s="212"/>
      <c r="G5" s="212"/>
      <c r="H5" s="212"/>
      <c r="I5" s="212"/>
      <c r="J5" s="212"/>
      <c r="K5" s="246"/>
    </row>
    <row r="6" spans="2:12" s="268" customFormat="1" ht="107.25" customHeight="1" thickBot="1">
      <c r="B6" s="299" t="s">
        <v>69</v>
      </c>
      <c r="C6" s="692" t="s">
        <v>20</v>
      </c>
      <c r="D6" s="693"/>
      <c r="E6" s="693"/>
      <c r="F6" s="693"/>
      <c r="G6" s="693"/>
      <c r="H6" s="693"/>
      <c r="I6" s="693"/>
      <c r="J6" s="693"/>
      <c r="K6" s="694"/>
      <c r="L6" s="273"/>
    </row>
    <row r="7" spans="2:11" ht="11.25">
      <c r="B7" s="245"/>
      <c r="C7" s="300"/>
      <c r="D7" s="212"/>
      <c r="E7" s="212"/>
      <c r="F7" s="212"/>
      <c r="G7" s="212"/>
      <c r="H7" s="212"/>
      <c r="I7" s="212"/>
      <c r="J7" s="212"/>
      <c r="K7" s="246"/>
    </row>
    <row r="8" spans="2:11" ht="14.25">
      <c r="B8" s="301" t="s">
        <v>85</v>
      </c>
      <c r="C8" s="269">
        <v>0.0275</v>
      </c>
      <c r="D8" s="212"/>
      <c r="E8" s="212"/>
      <c r="F8" s="212"/>
      <c r="G8" s="212"/>
      <c r="H8" s="212"/>
      <c r="I8" s="212"/>
      <c r="J8" s="212"/>
      <c r="K8" s="246"/>
    </row>
    <row r="9" spans="2:11" ht="11.25">
      <c r="B9" s="245"/>
      <c r="C9" s="270"/>
      <c r="D9" s="212"/>
      <c r="E9" s="212"/>
      <c r="F9" s="212"/>
      <c r="G9" s="212"/>
      <c r="H9" s="212"/>
      <c r="I9" s="212"/>
      <c r="J9" s="212"/>
      <c r="K9" s="246"/>
    </row>
    <row r="10" spans="2:11" ht="15">
      <c r="B10" s="245"/>
      <c r="C10" s="270"/>
      <c r="D10" s="212"/>
      <c r="E10" s="212"/>
      <c r="F10" s="212"/>
      <c r="G10" s="212"/>
      <c r="H10" s="695" t="s">
        <v>159</v>
      </c>
      <c r="I10" s="696"/>
      <c r="J10" s="696"/>
      <c r="K10" s="697"/>
    </row>
    <row r="11" spans="2:11" ht="14.25">
      <c r="B11" s="245"/>
      <c r="C11" s="270"/>
      <c r="D11" s="212"/>
      <c r="E11" s="212"/>
      <c r="F11" s="212"/>
      <c r="G11" s="212"/>
      <c r="H11" s="148"/>
      <c r="I11" s="149"/>
      <c r="J11" s="199"/>
      <c r="K11" s="246"/>
    </row>
    <row r="12" spans="2:11" ht="11.25" customHeight="1">
      <c r="B12" s="245"/>
      <c r="C12" s="270"/>
      <c r="D12" s="212"/>
      <c r="E12" s="212"/>
      <c r="F12" s="212"/>
      <c r="G12" s="212"/>
      <c r="H12" s="645" t="s">
        <v>208</v>
      </c>
      <c r="I12" s="637"/>
      <c r="J12" s="637"/>
      <c r="K12" s="638"/>
    </row>
    <row r="13" spans="2:11" ht="14.25">
      <c r="B13" s="245"/>
      <c r="C13" s="270"/>
      <c r="D13" s="212"/>
      <c r="E13" s="212"/>
      <c r="F13" s="212"/>
      <c r="G13" s="212"/>
      <c r="H13" s="148"/>
      <c r="I13" s="149"/>
      <c r="J13" s="199"/>
      <c r="K13" s="246"/>
    </row>
    <row r="14" spans="2:11" ht="11.25" customHeight="1">
      <c r="B14" s="245"/>
      <c r="C14" s="270"/>
      <c r="D14" s="212"/>
      <c r="E14" s="212"/>
      <c r="F14" s="212"/>
      <c r="G14" s="212"/>
      <c r="H14" s="639" t="s">
        <v>260</v>
      </c>
      <c r="I14" s="640"/>
      <c r="J14" s="640"/>
      <c r="K14" s="641"/>
    </row>
    <row r="15" spans="2:11" ht="11.25" customHeight="1">
      <c r="B15" s="245"/>
      <c r="C15" s="270"/>
      <c r="D15" s="212"/>
      <c r="E15" s="212"/>
      <c r="F15" s="212"/>
      <c r="G15" s="212"/>
      <c r="H15" s="639"/>
      <c r="I15" s="640"/>
      <c r="J15" s="640"/>
      <c r="K15" s="641"/>
    </row>
    <row r="16" spans="2:11" ht="11.25" customHeight="1">
      <c r="B16" s="245"/>
      <c r="C16" s="270"/>
      <c r="D16" s="212"/>
      <c r="E16" s="212"/>
      <c r="F16" s="212"/>
      <c r="G16" s="212"/>
      <c r="H16" s="639"/>
      <c r="I16" s="640"/>
      <c r="J16" s="640"/>
      <c r="K16" s="641"/>
    </row>
    <row r="17" spans="2:11" ht="11.25" customHeight="1">
      <c r="B17" s="245"/>
      <c r="C17" s="270"/>
      <c r="D17" s="212"/>
      <c r="E17" s="212"/>
      <c r="F17" s="212"/>
      <c r="G17" s="212"/>
      <c r="H17" s="639"/>
      <c r="I17" s="640"/>
      <c r="J17" s="640"/>
      <c r="K17" s="641"/>
    </row>
    <row r="18" spans="2:11" ht="11.25" customHeight="1">
      <c r="B18" s="245"/>
      <c r="C18" s="270"/>
      <c r="D18" s="212"/>
      <c r="E18" s="212"/>
      <c r="F18" s="212"/>
      <c r="G18" s="212"/>
      <c r="H18" s="639"/>
      <c r="I18" s="640"/>
      <c r="J18" s="640"/>
      <c r="K18" s="641"/>
    </row>
    <row r="19" spans="2:11" ht="11.25" customHeight="1">
      <c r="B19" s="245"/>
      <c r="C19" s="270"/>
      <c r="D19" s="212"/>
      <c r="E19" s="212"/>
      <c r="F19" s="212"/>
      <c r="G19" s="212"/>
      <c r="H19" s="639"/>
      <c r="I19" s="640"/>
      <c r="J19" s="640"/>
      <c r="K19" s="641"/>
    </row>
    <row r="20" spans="2:11" ht="21.75" customHeight="1">
      <c r="B20" s="245"/>
      <c r="C20" s="270"/>
      <c r="D20" s="212"/>
      <c r="E20" s="212"/>
      <c r="F20" s="212"/>
      <c r="G20" s="212"/>
      <c r="H20" s="639"/>
      <c r="I20" s="640"/>
      <c r="J20" s="640"/>
      <c r="K20" s="641"/>
    </row>
    <row r="21" spans="2:11" ht="11.25" customHeight="1">
      <c r="B21" s="245"/>
      <c r="C21" s="270"/>
      <c r="D21" s="212"/>
      <c r="E21" s="212"/>
      <c r="F21" s="212"/>
      <c r="G21" s="212"/>
      <c r="H21" s="639"/>
      <c r="I21" s="640"/>
      <c r="J21" s="640"/>
      <c r="K21" s="641"/>
    </row>
    <row r="22" spans="2:11" ht="11.25" customHeight="1">
      <c r="B22" s="245"/>
      <c r="C22" s="270"/>
      <c r="D22" s="212"/>
      <c r="E22" s="212"/>
      <c r="F22" s="212"/>
      <c r="G22" s="212"/>
      <c r="H22" s="639"/>
      <c r="I22" s="640"/>
      <c r="J22" s="640"/>
      <c r="K22" s="641"/>
    </row>
    <row r="23" spans="2:11" ht="11.25" customHeight="1">
      <c r="B23" s="245"/>
      <c r="C23" s="270"/>
      <c r="D23" s="212"/>
      <c r="E23" s="212"/>
      <c r="F23" s="212"/>
      <c r="G23" s="212"/>
      <c r="H23" s="639"/>
      <c r="I23" s="640"/>
      <c r="J23" s="640"/>
      <c r="K23" s="641"/>
    </row>
    <row r="24" spans="2:11" ht="20.25" customHeight="1">
      <c r="B24" s="245"/>
      <c r="C24" s="270"/>
      <c r="D24" s="212"/>
      <c r="E24" s="212"/>
      <c r="F24" s="212"/>
      <c r="G24" s="212"/>
      <c r="H24" s="639"/>
      <c r="I24" s="640"/>
      <c r="J24" s="640"/>
      <c r="K24" s="641"/>
    </row>
    <row r="25" spans="2:11" ht="11.25" customHeight="1">
      <c r="B25" s="245"/>
      <c r="C25" s="270"/>
      <c r="D25" s="212"/>
      <c r="E25" s="212"/>
      <c r="F25" s="212"/>
      <c r="G25" s="212"/>
      <c r="H25" s="272"/>
      <c r="I25" s="273"/>
      <c r="J25" s="273"/>
      <c r="K25" s="302"/>
    </row>
    <row r="26" spans="2:11" ht="11.25" customHeight="1">
      <c r="B26" s="245"/>
      <c r="C26" s="270"/>
      <c r="D26" s="212"/>
      <c r="E26" s="212"/>
      <c r="F26" s="212"/>
      <c r="G26" s="212"/>
      <c r="H26" s="274"/>
      <c r="I26" s="274"/>
      <c r="J26" s="274"/>
      <c r="K26" s="246"/>
    </row>
    <row r="27" spans="2:11" ht="11.25" customHeight="1">
      <c r="B27" s="245"/>
      <c r="C27" s="270"/>
      <c r="D27" s="212"/>
      <c r="E27" s="212"/>
      <c r="F27" s="212"/>
      <c r="G27" s="212"/>
      <c r="H27" s="206"/>
      <c r="I27" s="206"/>
      <c r="J27" s="206"/>
      <c r="K27" s="246"/>
    </row>
    <row r="28" spans="2:11" ht="15.75">
      <c r="B28" s="227" t="s">
        <v>152</v>
      </c>
      <c r="C28" s="270"/>
      <c r="D28" s="212"/>
      <c r="E28" s="212"/>
      <c r="F28" s="212"/>
      <c r="G28" s="212"/>
      <c r="H28" s="212"/>
      <c r="I28" s="212"/>
      <c r="J28" s="212"/>
      <c r="K28" s="246"/>
    </row>
    <row r="29" spans="2:11" ht="11.25">
      <c r="B29" s="245"/>
      <c r="C29" s="270"/>
      <c r="D29" s="212"/>
      <c r="E29" s="212"/>
      <c r="F29" s="212"/>
      <c r="G29" s="212"/>
      <c r="H29" s="212"/>
      <c r="I29" s="212"/>
      <c r="J29" s="212"/>
      <c r="K29" s="246"/>
    </row>
    <row r="30" spans="2:11" ht="11.25">
      <c r="B30" s="245"/>
      <c r="C30" s="270"/>
      <c r="D30" s="212"/>
      <c r="E30" s="212"/>
      <c r="F30" s="212"/>
      <c r="G30" s="212"/>
      <c r="H30" s="212"/>
      <c r="I30" s="212"/>
      <c r="J30" s="275"/>
      <c r="K30" s="246"/>
    </row>
    <row r="31" spans="2:11" ht="11.25">
      <c r="B31" s="245"/>
      <c r="C31" s="270"/>
      <c r="D31" s="212"/>
      <c r="E31" s="212"/>
      <c r="F31" s="212"/>
      <c r="G31" s="212"/>
      <c r="H31" s="212"/>
      <c r="I31" s="212"/>
      <c r="J31" s="212"/>
      <c r="K31" s="246"/>
    </row>
    <row r="32" spans="2:11" ht="11.25">
      <c r="B32" s="245"/>
      <c r="C32" s="270"/>
      <c r="D32" s="212"/>
      <c r="E32" s="212"/>
      <c r="F32" s="212"/>
      <c r="G32" s="212"/>
      <c r="H32" s="212"/>
      <c r="I32" s="212"/>
      <c r="J32" s="212"/>
      <c r="K32" s="246"/>
    </row>
    <row r="33" spans="2:11" ht="11.25">
      <c r="B33" s="245"/>
      <c r="C33" s="270"/>
      <c r="D33" s="212"/>
      <c r="E33" s="212"/>
      <c r="F33" s="212"/>
      <c r="G33" s="212"/>
      <c r="H33" s="212"/>
      <c r="I33" s="212"/>
      <c r="J33" s="212"/>
      <c r="K33" s="246"/>
    </row>
    <row r="34" spans="2:11" ht="11.25">
      <c r="B34" s="245"/>
      <c r="C34" s="270"/>
      <c r="D34" s="212"/>
      <c r="E34" s="212"/>
      <c r="F34" s="212"/>
      <c r="G34" s="212"/>
      <c r="H34" s="212"/>
      <c r="I34" s="212"/>
      <c r="J34" s="212"/>
      <c r="K34" s="246"/>
    </row>
    <row r="35" spans="2:11" ht="11.25">
      <c r="B35" s="245"/>
      <c r="C35" s="270"/>
      <c r="D35" s="212"/>
      <c r="E35" s="212"/>
      <c r="F35" s="212"/>
      <c r="G35" s="212"/>
      <c r="H35" s="212"/>
      <c r="I35" s="212"/>
      <c r="J35" s="212"/>
      <c r="K35" s="246"/>
    </row>
    <row r="36" spans="2:11" ht="11.25">
      <c r="B36" s="245"/>
      <c r="C36" s="270"/>
      <c r="D36" s="212"/>
      <c r="E36" s="212"/>
      <c r="F36" s="212"/>
      <c r="G36" s="212"/>
      <c r="H36" s="212"/>
      <c r="I36" s="212"/>
      <c r="J36" s="212"/>
      <c r="K36" s="246"/>
    </row>
    <row r="37" spans="2:11" ht="11.25">
      <c r="B37" s="245"/>
      <c r="C37" s="270"/>
      <c r="D37" s="212"/>
      <c r="E37" s="212"/>
      <c r="F37" s="212"/>
      <c r="G37" s="212"/>
      <c r="H37" s="212"/>
      <c r="I37" s="212"/>
      <c r="J37" s="212"/>
      <c r="K37" s="246"/>
    </row>
    <row r="38" spans="2:11" ht="11.25">
      <c r="B38" s="245"/>
      <c r="C38" s="270"/>
      <c r="D38" s="212"/>
      <c r="E38" s="212"/>
      <c r="F38" s="212"/>
      <c r="G38" s="212"/>
      <c r="H38" s="212"/>
      <c r="I38" s="212"/>
      <c r="J38" s="212"/>
      <c r="K38" s="246"/>
    </row>
    <row r="39" spans="2:11" ht="11.25">
      <c r="B39" s="245"/>
      <c r="C39" s="270"/>
      <c r="D39" s="212"/>
      <c r="E39" s="212"/>
      <c r="F39" s="212"/>
      <c r="G39" s="212"/>
      <c r="H39" s="212"/>
      <c r="I39" s="212"/>
      <c r="J39" s="212"/>
      <c r="K39" s="246"/>
    </row>
    <row r="40" spans="2:11" ht="11.25">
      <c r="B40" s="245"/>
      <c r="C40" s="270"/>
      <c r="D40" s="212"/>
      <c r="E40" s="212"/>
      <c r="F40" s="212"/>
      <c r="G40" s="212"/>
      <c r="H40" s="212"/>
      <c r="I40" s="212"/>
      <c r="J40" s="212"/>
      <c r="K40" s="246"/>
    </row>
    <row r="41" spans="2:11" ht="11.25">
      <c r="B41" s="245"/>
      <c r="C41" s="270"/>
      <c r="D41" s="212"/>
      <c r="E41" s="212"/>
      <c r="F41" s="212"/>
      <c r="G41" s="212"/>
      <c r="H41" s="212"/>
      <c r="I41" s="212"/>
      <c r="J41" s="212"/>
      <c r="K41" s="246"/>
    </row>
    <row r="42" spans="2:11" ht="11.25">
      <c r="B42" s="245"/>
      <c r="C42" s="270"/>
      <c r="D42" s="212"/>
      <c r="E42" s="212"/>
      <c r="F42" s="212"/>
      <c r="G42" s="212"/>
      <c r="H42" s="212"/>
      <c r="I42" s="212"/>
      <c r="J42" s="212"/>
      <c r="K42" s="246"/>
    </row>
    <row r="43" spans="2:11" ht="11.25">
      <c r="B43" s="245"/>
      <c r="C43" s="270"/>
      <c r="D43" s="212"/>
      <c r="E43" s="212"/>
      <c r="F43" s="212"/>
      <c r="G43" s="212"/>
      <c r="H43" s="212"/>
      <c r="I43" s="212"/>
      <c r="J43" s="212"/>
      <c r="K43" s="246"/>
    </row>
    <row r="44" spans="2:11" ht="11.25">
      <c r="B44" s="245"/>
      <c r="C44" s="270"/>
      <c r="D44" s="212"/>
      <c r="E44" s="212"/>
      <c r="F44" s="212"/>
      <c r="G44" s="212"/>
      <c r="H44" s="212"/>
      <c r="I44" s="212"/>
      <c r="J44" s="212"/>
      <c r="K44" s="246"/>
    </row>
    <row r="45" spans="2:11" ht="11.25">
      <c r="B45" s="245"/>
      <c r="C45" s="270"/>
      <c r="D45" s="212"/>
      <c r="E45" s="212"/>
      <c r="F45" s="212"/>
      <c r="G45" s="212"/>
      <c r="H45" s="212"/>
      <c r="I45" s="212"/>
      <c r="J45" s="212"/>
      <c r="K45" s="246"/>
    </row>
    <row r="46" spans="2:11" ht="11.25">
      <c r="B46" s="245"/>
      <c r="C46" s="270"/>
      <c r="D46" s="212"/>
      <c r="E46" s="212"/>
      <c r="F46" s="212"/>
      <c r="G46" s="212"/>
      <c r="H46" s="212"/>
      <c r="I46" s="212"/>
      <c r="J46" s="212"/>
      <c r="K46" s="246"/>
    </row>
    <row r="47" spans="2:11" ht="11.25">
      <c r="B47" s="245"/>
      <c r="C47" s="270"/>
      <c r="D47" s="212"/>
      <c r="E47" s="212"/>
      <c r="F47" s="212"/>
      <c r="G47" s="212"/>
      <c r="H47" s="212"/>
      <c r="I47" s="212"/>
      <c r="J47" s="212"/>
      <c r="K47" s="246"/>
    </row>
    <row r="48" spans="2:11" ht="11.25">
      <c r="B48" s="245"/>
      <c r="C48" s="270"/>
      <c r="D48" s="212"/>
      <c r="E48" s="212"/>
      <c r="F48" s="212"/>
      <c r="G48" s="212"/>
      <c r="H48" s="212"/>
      <c r="I48" s="212"/>
      <c r="J48" s="212"/>
      <c r="K48" s="246"/>
    </row>
    <row r="49" spans="2:11" ht="11.25">
      <c r="B49" s="245"/>
      <c r="C49" s="270"/>
      <c r="D49" s="212"/>
      <c r="E49" s="212"/>
      <c r="F49" s="212"/>
      <c r="G49" s="212"/>
      <c r="H49" s="212"/>
      <c r="I49" s="212"/>
      <c r="J49" s="212"/>
      <c r="K49" s="246"/>
    </row>
    <row r="50" spans="2:11" ht="11.25">
      <c r="B50" s="245"/>
      <c r="C50" s="212"/>
      <c r="D50" s="212"/>
      <c r="E50" s="212"/>
      <c r="F50" s="212"/>
      <c r="G50" s="212"/>
      <c r="H50" s="212"/>
      <c r="I50" s="212"/>
      <c r="J50" s="212"/>
      <c r="K50" s="246"/>
    </row>
    <row r="51" spans="2:11" ht="11.25">
      <c r="B51" s="245"/>
      <c r="C51" s="212"/>
      <c r="D51" s="212"/>
      <c r="E51" s="212"/>
      <c r="F51" s="212"/>
      <c r="G51" s="212"/>
      <c r="H51" s="212"/>
      <c r="I51" s="212"/>
      <c r="J51" s="212"/>
      <c r="K51" s="246"/>
    </row>
    <row r="52" spans="2:11" ht="11.25">
      <c r="B52" s="245"/>
      <c r="C52" s="212"/>
      <c r="D52" s="212"/>
      <c r="E52" s="212"/>
      <c r="F52" s="212"/>
      <c r="G52" s="212"/>
      <c r="H52" s="212"/>
      <c r="I52" s="212"/>
      <c r="J52" s="212"/>
      <c r="K52" s="246"/>
    </row>
    <row r="53" spans="2:11" ht="11.25">
      <c r="B53" s="245"/>
      <c r="C53" s="212"/>
      <c r="D53" s="212"/>
      <c r="E53" s="212"/>
      <c r="F53" s="212"/>
      <c r="G53" s="212"/>
      <c r="H53" s="212"/>
      <c r="I53" s="212"/>
      <c r="J53" s="212"/>
      <c r="K53" s="246"/>
    </row>
    <row r="54" spans="2:11" ht="11.25">
      <c r="B54" s="245"/>
      <c r="C54" s="212"/>
      <c r="D54" s="212"/>
      <c r="E54" s="212"/>
      <c r="F54" s="212"/>
      <c r="G54" s="212"/>
      <c r="H54" s="212"/>
      <c r="I54" s="212"/>
      <c r="J54" s="212"/>
      <c r="K54" s="246"/>
    </row>
    <row r="55" spans="2:11" ht="11.25">
      <c r="B55" s="245"/>
      <c r="C55" s="212"/>
      <c r="D55" s="212"/>
      <c r="E55" s="212"/>
      <c r="F55" s="212"/>
      <c r="G55" s="212"/>
      <c r="H55" s="212"/>
      <c r="I55" s="212"/>
      <c r="J55" s="212"/>
      <c r="K55" s="246"/>
    </row>
    <row r="56" spans="2:11" ht="11.25">
      <c r="B56" s="245"/>
      <c r="C56" s="212"/>
      <c r="D56" s="212"/>
      <c r="E56" s="212"/>
      <c r="F56" s="212"/>
      <c r="G56" s="212"/>
      <c r="H56" s="212"/>
      <c r="I56" s="212"/>
      <c r="J56" s="212"/>
      <c r="K56" s="246"/>
    </row>
    <row r="57" spans="2:11" ht="11.25">
      <c r="B57" s="245"/>
      <c r="C57" s="212"/>
      <c r="D57" s="212"/>
      <c r="E57" s="212"/>
      <c r="F57" s="212"/>
      <c r="G57" s="212"/>
      <c r="H57" s="212"/>
      <c r="I57" s="212"/>
      <c r="J57" s="212"/>
      <c r="K57" s="246"/>
    </row>
    <row r="58" spans="2:11" ht="11.25">
      <c r="B58" s="683" t="s">
        <v>270</v>
      </c>
      <c r="C58" s="684"/>
      <c r="D58" s="684"/>
      <c r="E58" s="684"/>
      <c r="F58" s="684"/>
      <c r="G58" s="684"/>
      <c r="H58" s="684"/>
      <c r="I58" s="684"/>
      <c r="J58" s="684"/>
      <c r="K58" s="685"/>
    </row>
    <row r="59" spans="2:11" ht="11.25">
      <c r="B59" s="686"/>
      <c r="C59" s="687"/>
      <c r="D59" s="687"/>
      <c r="E59" s="687"/>
      <c r="F59" s="687"/>
      <c r="G59" s="687"/>
      <c r="H59" s="687"/>
      <c r="I59" s="687"/>
      <c r="J59" s="687"/>
      <c r="K59" s="688"/>
    </row>
    <row r="60" spans="2:11" ht="11.25">
      <c r="B60" s="686"/>
      <c r="C60" s="687"/>
      <c r="D60" s="687"/>
      <c r="E60" s="687"/>
      <c r="F60" s="687"/>
      <c r="G60" s="687"/>
      <c r="H60" s="687"/>
      <c r="I60" s="687"/>
      <c r="J60" s="687"/>
      <c r="K60" s="688"/>
    </row>
    <row r="61" spans="2:11" ht="11.25">
      <c r="B61" s="686"/>
      <c r="C61" s="687"/>
      <c r="D61" s="687"/>
      <c r="E61" s="687"/>
      <c r="F61" s="687"/>
      <c r="G61" s="687"/>
      <c r="H61" s="687"/>
      <c r="I61" s="687"/>
      <c r="J61" s="687"/>
      <c r="K61" s="688"/>
    </row>
    <row r="62" spans="2:11" ht="11.25">
      <c r="B62" s="686"/>
      <c r="C62" s="687"/>
      <c r="D62" s="687"/>
      <c r="E62" s="687"/>
      <c r="F62" s="687"/>
      <c r="G62" s="687"/>
      <c r="H62" s="687"/>
      <c r="I62" s="687"/>
      <c r="J62" s="687"/>
      <c r="K62" s="688"/>
    </row>
    <row r="63" spans="2:11" ht="11.25">
      <c r="B63" s="686"/>
      <c r="C63" s="687"/>
      <c r="D63" s="687"/>
      <c r="E63" s="687"/>
      <c r="F63" s="687"/>
      <c r="G63" s="687"/>
      <c r="H63" s="687"/>
      <c r="I63" s="687"/>
      <c r="J63" s="687"/>
      <c r="K63" s="688"/>
    </row>
    <row r="64" spans="2:11" ht="11.25">
      <c r="B64" s="686"/>
      <c r="C64" s="687"/>
      <c r="D64" s="687"/>
      <c r="E64" s="687"/>
      <c r="F64" s="687"/>
      <c r="G64" s="687"/>
      <c r="H64" s="687"/>
      <c r="I64" s="687"/>
      <c r="J64" s="687"/>
      <c r="K64" s="688"/>
    </row>
    <row r="65" spans="2:11" ht="11.25">
      <c r="B65" s="689"/>
      <c r="C65" s="690"/>
      <c r="D65" s="690"/>
      <c r="E65" s="690"/>
      <c r="F65" s="690"/>
      <c r="G65" s="690"/>
      <c r="H65" s="690"/>
      <c r="I65" s="690"/>
      <c r="J65" s="690"/>
      <c r="K65" s="691"/>
    </row>
    <row r="66" spans="2:11" ht="15.75">
      <c r="B66" s="227" t="s">
        <v>153</v>
      </c>
      <c r="C66" s="212"/>
      <c r="D66" s="212"/>
      <c r="E66" s="212"/>
      <c r="F66" s="212"/>
      <c r="G66" s="212"/>
      <c r="H66" s="212"/>
      <c r="I66" s="212"/>
      <c r="J66" s="212"/>
      <c r="K66" s="246"/>
    </row>
    <row r="67" spans="2:11" ht="12" thickBot="1">
      <c r="B67" s="245"/>
      <c r="C67" s="212"/>
      <c r="D67" s="212"/>
      <c r="E67" s="212"/>
      <c r="F67" s="212"/>
      <c r="G67" s="212"/>
      <c r="H67" s="212"/>
      <c r="I67" s="212"/>
      <c r="J67" s="212"/>
      <c r="K67" s="246"/>
    </row>
    <row r="68" spans="2:19" ht="60" customHeight="1">
      <c r="B68" s="303" t="s">
        <v>40</v>
      </c>
      <c r="C68" s="276" t="s">
        <v>25</v>
      </c>
      <c r="D68" s="277" t="s">
        <v>26</v>
      </c>
      <c r="E68" s="277" t="s">
        <v>27</v>
      </c>
      <c r="F68" s="277" t="s">
        <v>28</v>
      </c>
      <c r="G68" s="277" t="s">
        <v>29</v>
      </c>
      <c r="H68" s="277" t="s">
        <v>67</v>
      </c>
      <c r="I68" s="277" t="s">
        <v>68</v>
      </c>
      <c r="J68" s="277" t="s">
        <v>30</v>
      </c>
      <c r="K68" s="304"/>
      <c r="L68" s="278"/>
      <c r="M68" s="265"/>
      <c r="N68" s="278"/>
      <c r="O68" s="279"/>
      <c r="P68" s="279"/>
      <c r="Q68" s="279"/>
      <c r="R68" s="279"/>
      <c r="S68" s="279"/>
    </row>
    <row r="69" spans="2:19" ht="14.25">
      <c r="B69" s="305">
        <v>40634</v>
      </c>
      <c r="C69" s="182">
        <v>8069.48</v>
      </c>
      <c r="D69" s="280">
        <v>263.83</v>
      </c>
      <c r="E69" s="281">
        <f>IF(C69&lt;&gt;"",C69,"")</f>
        <v>8069.48</v>
      </c>
      <c r="F69" s="282">
        <f>IF(D69&lt;&gt;"",D69,"")</f>
        <v>263.83</v>
      </c>
      <c r="G69" s="283">
        <f aca="true" t="shared" si="0" ref="G69:G80">IF(C69&lt;&gt;"",D69/C69,"")</f>
        <v>0.03269479569935114</v>
      </c>
      <c r="H69" s="284">
        <v>0.0003</v>
      </c>
      <c r="I69" s="284">
        <v>0.0798</v>
      </c>
      <c r="J69" s="283">
        <f aca="true" t="shared" si="1" ref="J69:J74">IF(E69&lt;&gt;"",F69/E69,"")</f>
        <v>0.03269479569935114</v>
      </c>
      <c r="K69" s="306"/>
      <c r="L69" s="278"/>
      <c r="M69" s="142"/>
      <c r="N69" s="285"/>
      <c r="O69" s="270"/>
      <c r="P69" s="286"/>
      <c r="Q69" s="286"/>
      <c r="R69" s="212"/>
      <c r="S69" s="286"/>
    </row>
    <row r="70" spans="2:19" ht="15.75">
      <c r="B70" s="305">
        <v>40664</v>
      </c>
      <c r="C70" s="182">
        <v>7360.24</v>
      </c>
      <c r="D70" s="280">
        <v>256.76</v>
      </c>
      <c r="E70" s="281">
        <f aca="true" t="shared" si="2" ref="E70:F74">IF(C70&lt;&gt;"",C70+E69,"")</f>
        <v>15429.72</v>
      </c>
      <c r="F70" s="282">
        <f t="shared" si="2"/>
        <v>520.5899999999999</v>
      </c>
      <c r="G70" s="283">
        <f t="shared" si="0"/>
        <v>0.03488473201960805</v>
      </c>
      <c r="H70" s="284">
        <v>0.0022</v>
      </c>
      <c r="I70" s="284">
        <v>0.099</v>
      </c>
      <c r="J70" s="283">
        <f t="shared" si="1"/>
        <v>0.0337394327311189</v>
      </c>
      <c r="K70" s="306"/>
      <c r="L70" s="278"/>
      <c r="M70" s="265"/>
      <c r="N70" s="285"/>
      <c r="O70" s="270"/>
      <c r="P70" s="286"/>
      <c r="Q70" s="286"/>
      <c r="R70" s="212"/>
      <c r="S70" s="286"/>
    </row>
    <row r="71" spans="2:19" ht="14.25">
      <c r="B71" s="305">
        <v>40695</v>
      </c>
      <c r="C71" s="182">
        <v>6192.63</v>
      </c>
      <c r="D71" s="287">
        <v>156.6477</v>
      </c>
      <c r="E71" s="281">
        <f t="shared" si="2"/>
        <v>21622.35</v>
      </c>
      <c r="F71" s="282">
        <f t="shared" si="2"/>
        <v>677.2376999999999</v>
      </c>
      <c r="G71" s="283">
        <f t="shared" si="0"/>
        <v>0.025295827459415464</v>
      </c>
      <c r="H71" s="288">
        <v>0.0015</v>
      </c>
      <c r="I71" s="288">
        <v>0.0919</v>
      </c>
      <c r="J71" s="283">
        <f t="shared" si="1"/>
        <v>0.03132118849246266</v>
      </c>
      <c r="K71" s="306"/>
      <c r="L71" s="278"/>
      <c r="M71" s="142"/>
      <c r="N71" s="285"/>
      <c r="O71" s="270"/>
      <c r="P71" s="286"/>
      <c r="Q71" s="286"/>
      <c r="R71" s="212"/>
      <c r="S71" s="286"/>
    </row>
    <row r="72" spans="2:19" ht="15.75">
      <c r="B72" s="305">
        <v>40725</v>
      </c>
      <c r="C72" s="182"/>
      <c r="D72" s="280"/>
      <c r="E72" s="281">
        <f t="shared" si="2"/>
      </c>
      <c r="F72" s="282">
        <f t="shared" si="2"/>
      </c>
      <c r="G72" s="283">
        <f t="shared" si="0"/>
      </c>
      <c r="H72" s="288"/>
      <c r="I72" s="288"/>
      <c r="J72" s="283">
        <f t="shared" si="1"/>
      </c>
      <c r="K72" s="306"/>
      <c r="L72" s="278"/>
      <c r="M72" s="265"/>
      <c r="N72" s="285"/>
      <c r="O72" s="270"/>
      <c r="P72" s="286"/>
      <c r="Q72" s="286"/>
      <c r="R72" s="212"/>
      <c r="S72" s="286"/>
    </row>
    <row r="73" spans="2:19" ht="14.25">
      <c r="B73" s="305">
        <v>40756</v>
      </c>
      <c r="C73" s="182"/>
      <c r="D73" s="280"/>
      <c r="E73" s="281">
        <f t="shared" si="2"/>
      </c>
      <c r="F73" s="282">
        <f t="shared" si="2"/>
      </c>
      <c r="G73" s="283">
        <f t="shared" si="0"/>
      </c>
      <c r="H73" s="288"/>
      <c r="I73" s="288"/>
      <c r="J73" s="283">
        <f t="shared" si="1"/>
      </c>
      <c r="K73" s="306"/>
      <c r="L73" s="278"/>
      <c r="M73" s="285"/>
      <c r="N73" s="285"/>
      <c r="O73" s="270"/>
      <c r="P73" s="286"/>
      <c r="Q73" s="286"/>
      <c r="R73" s="212"/>
      <c r="S73" s="286"/>
    </row>
    <row r="74" spans="2:19" ht="14.25">
      <c r="B74" s="305">
        <v>40787</v>
      </c>
      <c r="C74" s="182"/>
      <c r="D74" s="280"/>
      <c r="E74" s="281">
        <f t="shared" si="2"/>
      </c>
      <c r="F74" s="282">
        <f t="shared" si="2"/>
      </c>
      <c r="G74" s="283">
        <f t="shared" si="0"/>
      </c>
      <c r="H74" s="288"/>
      <c r="I74" s="288"/>
      <c r="J74" s="283">
        <f t="shared" si="1"/>
      </c>
      <c r="K74" s="306"/>
      <c r="L74" s="278"/>
      <c r="M74" s="285"/>
      <c r="N74" s="285"/>
      <c r="O74" s="270"/>
      <c r="P74" s="286"/>
      <c r="Q74" s="286"/>
      <c r="R74" s="212"/>
      <c r="S74" s="286"/>
    </row>
    <row r="75" spans="2:19" ht="14.25">
      <c r="B75" s="305">
        <v>40817</v>
      </c>
      <c r="C75" s="182"/>
      <c r="D75" s="280"/>
      <c r="E75" s="281">
        <f>IF(C75&lt;&gt;"",C75+E74,"")</f>
      </c>
      <c r="F75" s="282">
        <f>IF(D75&lt;&gt;"",D75+F74,"")</f>
      </c>
      <c r="G75" s="283">
        <f>IF(C75&lt;&gt;"",D75/C75,"")</f>
      </c>
      <c r="H75" s="288"/>
      <c r="I75" s="288"/>
      <c r="J75" s="283">
        <f aca="true" t="shared" si="3" ref="J75:J80">IF(E75&lt;&gt;"",F75/E75,"")</f>
      </c>
      <c r="K75" s="306"/>
      <c r="L75" s="278"/>
      <c r="M75" s="285"/>
      <c r="N75" s="285"/>
      <c r="O75" s="270"/>
      <c r="P75" s="286"/>
      <c r="Q75" s="286"/>
      <c r="R75" s="212"/>
      <c r="S75" s="286"/>
    </row>
    <row r="76" spans="2:19" ht="14.25">
      <c r="B76" s="305">
        <v>40848</v>
      </c>
      <c r="C76" s="182"/>
      <c r="D76" s="280"/>
      <c r="E76" s="281">
        <f>IF(C76&lt;&gt;"",C76+E75,"")</f>
      </c>
      <c r="F76" s="282">
        <f>IF(D76&lt;&gt;"",D76+F75,"")</f>
      </c>
      <c r="G76" s="283">
        <f>IF(C76&lt;&gt;"",D76/C76,"")</f>
      </c>
      <c r="H76" s="288"/>
      <c r="I76" s="288"/>
      <c r="J76" s="283">
        <f t="shared" si="3"/>
      </c>
      <c r="K76" s="306"/>
      <c r="L76" s="278"/>
      <c r="M76" s="285"/>
      <c r="N76" s="285"/>
      <c r="O76" s="270"/>
      <c r="P76" s="286"/>
      <c r="Q76" s="286"/>
      <c r="R76" s="212"/>
      <c r="S76" s="286"/>
    </row>
    <row r="77" spans="2:19" ht="14.25">
      <c r="B77" s="305">
        <v>40878</v>
      </c>
      <c r="C77" s="182"/>
      <c r="D77" s="280"/>
      <c r="E77" s="281">
        <f aca="true" t="shared" si="4" ref="E77:F80">IF(C77&lt;&gt;"",C77+E76,"")</f>
      </c>
      <c r="F77" s="282">
        <f t="shared" si="4"/>
      </c>
      <c r="G77" s="283">
        <f t="shared" si="0"/>
      </c>
      <c r="H77" s="288"/>
      <c r="I77" s="288"/>
      <c r="J77" s="283">
        <f t="shared" si="3"/>
      </c>
      <c r="K77" s="306"/>
      <c r="L77" s="278"/>
      <c r="M77" s="285"/>
      <c r="N77" s="285"/>
      <c r="O77" s="270"/>
      <c r="P77" s="286"/>
      <c r="Q77" s="286"/>
      <c r="R77" s="212"/>
      <c r="S77" s="286"/>
    </row>
    <row r="78" spans="2:19" ht="14.25">
      <c r="B78" s="305">
        <v>40909</v>
      </c>
      <c r="C78" s="182"/>
      <c r="D78" s="280"/>
      <c r="E78" s="281">
        <f t="shared" si="4"/>
      </c>
      <c r="F78" s="282">
        <f>IF(D78&lt;&gt;"",D78+F77,"")</f>
      </c>
      <c r="G78" s="283">
        <f>IF(C78&lt;&gt;"",D78/C78,"")</f>
      </c>
      <c r="H78" s="288"/>
      <c r="I78" s="288"/>
      <c r="J78" s="283">
        <f t="shared" si="3"/>
      </c>
      <c r="K78" s="306"/>
      <c r="L78" s="278"/>
      <c r="M78" s="285"/>
      <c r="N78" s="285"/>
      <c r="O78" s="270"/>
      <c r="P78" s="286"/>
      <c r="Q78" s="286"/>
      <c r="R78" s="212"/>
      <c r="S78" s="286"/>
    </row>
    <row r="79" spans="2:19" ht="14.25">
      <c r="B79" s="305">
        <v>40940</v>
      </c>
      <c r="C79" s="182"/>
      <c r="D79" s="280"/>
      <c r="E79" s="281">
        <f t="shared" si="4"/>
      </c>
      <c r="F79" s="282">
        <f t="shared" si="4"/>
      </c>
      <c r="G79" s="283">
        <f t="shared" si="0"/>
      </c>
      <c r="H79" s="288"/>
      <c r="I79" s="288"/>
      <c r="J79" s="283">
        <f t="shared" si="3"/>
      </c>
      <c r="K79" s="306"/>
      <c r="L79" s="278"/>
      <c r="M79" s="285"/>
      <c r="N79" s="285"/>
      <c r="O79" s="270"/>
      <c r="P79" s="286"/>
      <c r="Q79" s="286"/>
      <c r="R79" s="212"/>
      <c r="S79" s="286"/>
    </row>
    <row r="80" spans="2:19" ht="15" thickBot="1">
      <c r="B80" s="307">
        <v>40969</v>
      </c>
      <c r="C80" s="193"/>
      <c r="D80" s="290"/>
      <c r="E80" s="310">
        <f t="shared" si="4"/>
      </c>
      <c r="F80" s="311">
        <f t="shared" si="4"/>
      </c>
      <c r="G80" s="312">
        <f t="shared" si="0"/>
      </c>
      <c r="H80" s="291"/>
      <c r="I80" s="291"/>
      <c r="J80" s="292">
        <f t="shared" si="3"/>
      </c>
      <c r="K80" s="306"/>
      <c r="L80" s="278"/>
      <c r="M80" s="285"/>
      <c r="N80" s="285"/>
      <c r="O80" s="270"/>
      <c r="P80" s="286"/>
      <c r="Q80" s="286"/>
      <c r="R80" s="212"/>
      <c r="S80" s="286"/>
    </row>
    <row r="81" spans="2:20" ht="11.25">
      <c r="B81" s="245"/>
      <c r="C81" s="212"/>
      <c r="D81" s="212"/>
      <c r="E81" s="212"/>
      <c r="F81" s="212"/>
      <c r="G81" s="212"/>
      <c r="H81" s="212"/>
      <c r="I81" s="212"/>
      <c r="J81" s="212"/>
      <c r="K81" s="246"/>
      <c r="M81" s="293"/>
      <c r="N81" s="293"/>
      <c r="O81" s="293"/>
      <c r="P81" s="293"/>
      <c r="Q81" s="293"/>
      <c r="R81" s="293"/>
      <c r="S81" s="293"/>
      <c r="T81" s="293"/>
    </row>
    <row r="82" spans="2:16" ht="10.5" customHeight="1">
      <c r="B82" s="245"/>
      <c r="C82" s="212"/>
      <c r="D82" s="212"/>
      <c r="E82" s="212"/>
      <c r="F82" s="212"/>
      <c r="G82" s="212"/>
      <c r="H82" s="212"/>
      <c r="I82" s="212"/>
      <c r="J82" s="212"/>
      <c r="K82" s="246"/>
      <c r="P82" s="295"/>
    </row>
    <row r="83" spans="2:11" ht="11.25">
      <c r="B83" s="245"/>
      <c r="C83" s="212"/>
      <c r="D83" s="212"/>
      <c r="E83" s="212"/>
      <c r="F83" s="212"/>
      <c r="G83" s="212"/>
      <c r="H83" s="212"/>
      <c r="I83" s="212"/>
      <c r="J83" s="212"/>
      <c r="K83" s="246"/>
    </row>
    <row r="84" spans="2:11" ht="11.25">
      <c r="B84" s="245"/>
      <c r="C84" s="212"/>
      <c r="D84" s="212"/>
      <c r="E84" s="212"/>
      <c r="F84" s="212"/>
      <c r="G84" s="212"/>
      <c r="H84" s="212"/>
      <c r="I84" s="212"/>
      <c r="J84" s="212"/>
      <c r="K84" s="246"/>
    </row>
    <row r="85" spans="2:11" ht="11.25">
      <c r="B85" s="245"/>
      <c r="C85" s="212"/>
      <c r="D85" s="212"/>
      <c r="E85" s="212"/>
      <c r="F85" s="212"/>
      <c r="G85" s="212"/>
      <c r="H85" s="212"/>
      <c r="I85" s="212"/>
      <c r="J85" s="212"/>
      <c r="K85" s="246"/>
    </row>
    <row r="86" spans="2:11" ht="11.25">
      <c r="B86" s="245"/>
      <c r="C86" s="212"/>
      <c r="D86" s="212"/>
      <c r="E86" s="212"/>
      <c r="F86" s="212"/>
      <c r="G86" s="212"/>
      <c r="H86" s="212"/>
      <c r="I86" s="212"/>
      <c r="J86" s="212"/>
      <c r="K86" s="246"/>
    </row>
    <row r="87" spans="2:11" ht="11.25">
      <c r="B87" s="245"/>
      <c r="C87" s="212"/>
      <c r="D87" s="212"/>
      <c r="E87" s="212"/>
      <c r="F87" s="212"/>
      <c r="G87" s="212"/>
      <c r="H87" s="212"/>
      <c r="I87" s="212"/>
      <c r="J87" s="212"/>
      <c r="K87" s="246"/>
    </row>
    <row r="88" spans="2:11" ht="11.25">
      <c r="B88" s="245"/>
      <c r="C88" s="212"/>
      <c r="D88" s="212"/>
      <c r="E88" s="212"/>
      <c r="F88" s="212"/>
      <c r="G88" s="212"/>
      <c r="H88" s="212"/>
      <c r="I88" s="212"/>
      <c r="J88" s="212"/>
      <c r="K88" s="246"/>
    </row>
    <row r="89" spans="2:11" ht="11.25">
      <c r="B89" s="245"/>
      <c r="C89" s="212"/>
      <c r="D89" s="212"/>
      <c r="E89" s="212"/>
      <c r="F89" s="212"/>
      <c r="G89" s="212"/>
      <c r="H89" s="212"/>
      <c r="I89" s="212"/>
      <c r="J89" s="212"/>
      <c r="K89" s="246"/>
    </row>
    <row r="90" spans="2:11" ht="11.25">
      <c r="B90" s="245"/>
      <c r="C90" s="212"/>
      <c r="D90" s="212"/>
      <c r="E90" s="212"/>
      <c r="F90" s="212"/>
      <c r="G90" s="212"/>
      <c r="H90" s="212"/>
      <c r="I90" s="212"/>
      <c r="J90" s="212"/>
      <c r="K90" s="246"/>
    </row>
    <row r="91" spans="2:11" ht="11.25">
      <c r="B91" s="245"/>
      <c r="C91" s="212"/>
      <c r="D91" s="212"/>
      <c r="E91" s="212"/>
      <c r="F91" s="212"/>
      <c r="G91" s="212"/>
      <c r="H91" s="212"/>
      <c r="I91" s="212"/>
      <c r="J91" s="212"/>
      <c r="K91" s="246"/>
    </row>
    <row r="92" spans="2:11" ht="11.25">
      <c r="B92" s="245"/>
      <c r="C92" s="212"/>
      <c r="D92" s="212"/>
      <c r="E92" s="212"/>
      <c r="F92" s="212"/>
      <c r="G92" s="212"/>
      <c r="H92" s="212"/>
      <c r="I92" s="212"/>
      <c r="J92" s="212"/>
      <c r="K92" s="246"/>
    </row>
    <row r="93" spans="2:11" ht="11.25">
      <c r="B93" s="245"/>
      <c r="C93" s="212"/>
      <c r="D93" s="212"/>
      <c r="E93" s="212"/>
      <c r="F93" s="212"/>
      <c r="G93" s="212"/>
      <c r="H93" s="212"/>
      <c r="I93" s="212"/>
      <c r="J93" s="212"/>
      <c r="K93" s="246"/>
    </row>
    <row r="94" spans="2:11" ht="11.25">
      <c r="B94" s="245"/>
      <c r="C94" s="212"/>
      <c r="D94" s="212"/>
      <c r="E94" s="212"/>
      <c r="F94" s="212"/>
      <c r="G94" s="212"/>
      <c r="H94" s="212"/>
      <c r="I94" s="212"/>
      <c r="J94" s="212"/>
      <c r="K94" s="246"/>
    </row>
    <row r="95" spans="2:11" ht="11.25">
      <c r="B95" s="245"/>
      <c r="C95" s="212"/>
      <c r="D95" s="212"/>
      <c r="E95" s="212"/>
      <c r="F95" s="212"/>
      <c r="G95" s="212"/>
      <c r="H95" s="212"/>
      <c r="I95" s="212"/>
      <c r="J95" s="212"/>
      <c r="K95" s="246"/>
    </row>
    <row r="96" spans="2:11" ht="11.25">
      <c r="B96" s="245"/>
      <c r="C96" s="212"/>
      <c r="D96" s="212"/>
      <c r="E96" s="212"/>
      <c r="F96" s="212"/>
      <c r="G96" s="212"/>
      <c r="H96" s="212"/>
      <c r="I96" s="212"/>
      <c r="J96" s="212"/>
      <c r="K96" s="246"/>
    </row>
    <row r="97" spans="2:11" ht="11.25">
      <c r="B97" s="245"/>
      <c r="C97" s="212"/>
      <c r="D97" s="212"/>
      <c r="E97" s="212"/>
      <c r="F97" s="212"/>
      <c r="G97" s="212"/>
      <c r="H97" s="212"/>
      <c r="I97" s="212"/>
      <c r="J97" s="212"/>
      <c r="K97" s="246"/>
    </row>
    <row r="98" spans="2:11" ht="11.25">
      <c r="B98" s="245"/>
      <c r="C98" s="212"/>
      <c r="D98" s="212"/>
      <c r="E98" s="212"/>
      <c r="F98" s="212"/>
      <c r="G98" s="212"/>
      <c r="H98" s="212"/>
      <c r="I98" s="212"/>
      <c r="J98" s="212"/>
      <c r="K98" s="246"/>
    </row>
    <row r="99" spans="2:11" ht="11.25">
      <c r="B99" s="245"/>
      <c r="C99" s="212"/>
      <c r="D99" s="212"/>
      <c r="E99" s="212"/>
      <c r="F99" s="212"/>
      <c r="G99" s="212"/>
      <c r="H99" s="212"/>
      <c r="I99" s="212"/>
      <c r="J99" s="212"/>
      <c r="K99" s="246"/>
    </row>
    <row r="100" spans="2:11" ht="11.25">
      <c r="B100" s="245"/>
      <c r="C100" s="212"/>
      <c r="D100" s="212"/>
      <c r="E100" s="212"/>
      <c r="F100" s="212"/>
      <c r="G100" s="212"/>
      <c r="H100" s="212"/>
      <c r="I100" s="212"/>
      <c r="J100" s="212"/>
      <c r="K100" s="246"/>
    </row>
    <row r="101" spans="2:11" ht="11.25">
      <c r="B101" s="245"/>
      <c r="C101" s="212"/>
      <c r="D101" s="212"/>
      <c r="E101" s="212"/>
      <c r="F101" s="212"/>
      <c r="G101" s="212"/>
      <c r="H101" s="212"/>
      <c r="I101" s="212"/>
      <c r="J101" s="212"/>
      <c r="K101" s="246"/>
    </row>
    <row r="102" spans="2:11" ht="11.25">
      <c r="B102" s="245"/>
      <c r="C102" s="212"/>
      <c r="D102" s="212"/>
      <c r="E102" s="212"/>
      <c r="F102" s="212"/>
      <c r="G102" s="212"/>
      <c r="H102" s="212"/>
      <c r="I102" s="212"/>
      <c r="J102" s="212"/>
      <c r="K102" s="246"/>
    </row>
    <row r="103" spans="2:11" ht="12" thickBot="1">
      <c r="B103" s="247"/>
      <c r="C103" s="248"/>
      <c r="D103" s="248"/>
      <c r="E103" s="248"/>
      <c r="F103" s="248"/>
      <c r="G103" s="248"/>
      <c r="H103" s="248"/>
      <c r="I103" s="248"/>
      <c r="J103" s="248"/>
      <c r="K103" s="249"/>
    </row>
    <row r="104" ht="12" thickTop="1"/>
  </sheetData>
  <sheetProtection/>
  <mergeCells count="6">
    <mergeCell ref="K1:K2"/>
    <mergeCell ref="B58:K65"/>
    <mergeCell ref="H12:K12"/>
    <mergeCell ref="H14:K24"/>
    <mergeCell ref="C6:K6"/>
    <mergeCell ref="H10:K10"/>
  </mergeCells>
  <printOptions/>
  <pageMargins left="0.7480314960629921" right="0.7480314960629921" top="0.984251968503937" bottom="0.984251968503937" header="0.5118110236220472" footer="0.5118110236220472"/>
  <pageSetup fitToHeight="1" fitToWidth="1" horizontalDpi="600" verticalDpi="600" orientation="portrait" paperSize="8" scale="75"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AI150"/>
  <sheetViews>
    <sheetView zoomScaleSheetLayoutView="100" workbookViewId="0" topLeftCell="A16">
      <selection activeCell="A1" sqref="A1"/>
    </sheetView>
  </sheetViews>
  <sheetFormatPr defaultColWidth="9.140625" defaultRowHeight="12.75"/>
  <cols>
    <col min="1" max="1" width="1.8515625" style="200" customWidth="1"/>
    <col min="2" max="2" width="15.140625" style="200" customWidth="1"/>
    <col min="3" max="3" width="21.140625" style="200" customWidth="1"/>
    <col min="4" max="4" width="11.28125" style="200" customWidth="1"/>
    <col min="5" max="5" width="11.421875" style="200" customWidth="1"/>
    <col min="6" max="7" width="9.28125" style="200" customWidth="1"/>
    <col min="8" max="8" width="9.140625" style="200" customWidth="1"/>
    <col min="9" max="9" width="8.8515625" style="200" customWidth="1"/>
    <col min="10" max="10" width="9.140625" style="200" customWidth="1"/>
    <col min="11" max="11" width="9.28125" style="200" customWidth="1"/>
    <col min="12" max="12" width="8.8515625" style="200" customWidth="1"/>
    <col min="13" max="13" width="9.7109375" style="200" customWidth="1"/>
    <col min="14" max="15" width="7.8515625" style="200" customWidth="1"/>
    <col min="16" max="17" width="9.7109375" style="200" customWidth="1"/>
    <col min="18" max="21" width="9.140625" style="200" customWidth="1"/>
    <col min="22" max="22" width="23.00390625" style="200" bestFit="1" customWidth="1"/>
    <col min="23" max="16384" width="9.140625" style="200" customWidth="1"/>
  </cols>
  <sheetData>
    <row r="1" spans="2:17" ht="24" thickTop="1">
      <c r="B1" s="296" t="s">
        <v>161</v>
      </c>
      <c r="C1" s="297"/>
      <c r="D1" s="297"/>
      <c r="E1" s="297"/>
      <c r="F1" s="297"/>
      <c r="G1" s="297"/>
      <c r="H1" s="297"/>
      <c r="I1" s="297"/>
      <c r="J1" s="297"/>
      <c r="K1" s="297"/>
      <c r="L1" s="297"/>
      <c r="M1" s="297"/>
      <c r="N1" s="297"/>
      <c r="O1" s="297"/>
      <c r="P1" s="297"/>
      <c r="Q1" s="351"/>
    </row>
    <row r="2" spans="2:17" ht="11.25">
      <c r="B2" s="245"/>
      <c r="C2" s="212"/>
      <c r="D2" s="212"/>
      <c r="E2" s="212"/>
      <c r="F2" s="212"/>
      <c r="G2" s="212"/>
      <c r="H2" s="212"/>
      <c r="I2" s="212"/>
      <c r="J2" s="212"/>
      <c r="K2" s="212"/>
      <c r="L2" s="212"/>
      <c r="M2" s="212"/>
      <c r="N2" s="212"/>
      <c r="O2" s="212"/>
      <c r="P2" s="212"/>
      <c r="Q2" s="246"/>
    </row>
    <row r="3" spans="2:17" ht="11.25">
      <c r="B3" s="245"/>
      <c r="C3" s="212"/>
      <c r="D3" s="212"/>
      <c r="E3" s="212"/>
      <c r="F3" s="212"/>
      <c r="G3" s="212"/>
      <c r="H3" s="212"/>
      <c r="I3" s="212"/>
      <c r="J3" s="212"/>
      <c r="K3" s="212"/>
      <c r="L3" s="212"/>
      <c r="M3" s="212"/>
      <c r="N3" s="212"/>
      <c r="O3" s="212"/>
      <c r="P3" s="212"/>
      <c r="Q3" s="246"/>
    </row>
    <row r="4" spans="2:17" ht="15.75">
      <c r="B4" s="227" t="s">
        <v>154</v>
      </c>
      <c r="C4" s="212"/>
      <c r="D4" s="212"/>
      <c r="E4" s="212"/>
      <c r="F4" s="212"/>
      <c r="G4" s="212"/>
      <c r="H4" s="212"/>
      <c r="I4" s="212"/>
      <c r="J4" s="212"/>
      <c r="K4" s="212"/>
      <c r="L4" s="212"/>
      <c r="M4" s="212"/>
      <c r="N4" s="212"/>
      <c r="O4" s="212"/>
      <c r="P4" s="212"/>
      <c r="Q4" s="246"/>
    </row>
    <row r="5" spans="2:17" ht="5.25" customHeight="1" thickBot="1">
      <c r="B5" s="245"/>
      <c r="C5" s="212"/>
      <c r="D5" s="212"/>
      <c r="E5" s="212"/>
      <c r="F5" s="212"/>
      <c r="G5" s="212"/>
      <c r="H5" s="212"/>
      <c r="I5" s="212"/>
      <c r="J5" s="212"/>
      <c r="K5" s="212"/>
      <c r="L5" s="212"/>
      <c r="M5" s="212"/>
      <c r="N5" s="212"/>
      <c r="O5" s="212"/>
      <c r="P5" s="212"/>
      <c r="Q5" s="246"/>
    </row>
    <row r="6" spans="2:20" ht="74.25" customHeight="1" thickBot="1">
      <c r="B6" s="229" t="s">
        <v>69</v>
      </c>
      <c r="C6" s="708" t="s">
        <v>288</v>
      </c>
      <c r="D6" s="709"/>
      <c r="E6" s="709"/>
      <c r="F6" s="709"/>
      <c r="G6" s="709"/>
      <c r="H6" s="709"/>
      <c r="I6" s="709"/>
      <c r="J6" s="709"/>
      <c r="K6" s="709"/>
      <c r="L6" s="709"/>
      <c r="M6" s="709"/>
      <c r="N6" s="709"/>
      <c r="O6" s="709"/>
      <c r="P6" s="709"/>
      <c r="Q6" s="710"/>
      <c r="R6" s="279"/>
      <c r="S6" s="279"/>
      <c r="T6" s="279"/>
    </row>
    <row r="7" spans="2:17" ht="11.25">
      <c r="B7" s="245"/>
      <c r="C7" s="212"/>
      <c r="D7" s="212"/>
      <c r="E7" s="212"/>
      <c r="F7" s="212"/>
      <c r="G7" s="212"/>
      <c r="H7" s="212"/>
      <c r="I7" s="212"/>
      <c r="J7" s="212"/>
      <c r="K7" s="212"/>
      <c r="L7" s="212"/>
      <c r="M7" s="212"/>
      <c r="N7" s="212"/>
      <c r="O7" s="212"/>
      <c r="P7" s="212"/>
      <c r="Q7" s="246"/>
    </row>
    <row r="8" spans="2:20" s="314" customFormat="1" ht="30">
      <c r="B8" s="352" t="s">
        <v>209</v>
      </c>
      <c r="C8" s="313" t="s">
        <v>100</v>
      </c>
      <c r="D8" s="698" t="s">
        <v>102</v>
      </c>
      <c r="E8" s="698"/>
      <c r="F8" s="698"/>
      <c r="G8" s="698" t="s">
        <v>103</v>
      </c>
      <c r="H8" s="698"/>
      <c r="I8" s="698"/>
      <c r="J8" s="698" t="s">
        <v>104</v>
      </c>
      <c r="K8" s="698"/>
      <c r="L8" s="698"/>
      <c r="M8" s="293"/>
      <c r="N8" s="293"/>
      <c r="O8" s="293"/>
      <c r="P8" s="293"/>
      <c r="Q8" s="298"/>
      <c r="S8" s="293"/>
      <c r="T8" s="315"/>
    </row>
    <row r="9" spans="2:20" s="314" customFormat="1" ht="89.25" customHeight="1">
      <c r="B9" s="353" t="s">
        <v>99</v>
      </c>
      <c r="C9" s="316" t="s">
        <v>109</v>
      </c>
      <c r="D9" s="699" t="s">
        <v>110</v>
      </c>
      <c r="E9" s="699"/>
      <c r="F9" s="699"/>
      <c r="G9" s="699" t="s">
        <v>112</v>
      </c>
      <c r="H9" s="699"/>
      <c r="I9" s="699"/>
      <c r="J9" s="699" t="s">
        <v>111</v>
      </c>
      <c r="K9" s="699"/>
      <c r="L9" s="699"/>
      <c r="M9" s="293"/>
      <c r="N9" s="293"/>
      <c r="O9" s="293"/>
      <c r="P9" s="293"/>
      <c r="Q9" s="298"/>
      <c r="S9" s="293"/>
      <c r="T9" s="317"/>
    </row>
    <row r="10" spans="2:17" ht="11.25">
      <c r="B10" s="245"/>
      <c r="C10" s="212"/>
      <c r="D10" s="212"/>
      <c r="E10" s="212"/>
      <c r="F10" s="212"/>
      <c r="G10" s="212"/>
      <c r="H10" s="212"/>
      <c r="I10" s="212"/>
      <c r="J10" s="212"/>
      <c r="K10" s="212"/>
      <c r="L10" s="212"/>
      <c r="M10" s="212"/>
      <c r="N10" s="212"/>
      <c r="O10" s="212"/>
      <c r="P10" s="212"/>
      <c r="Q10" s="246"/>
    </row>
    <row r="11" spans="2:17" ht="30">
      <c r="B11" s="352" t="s">
        <v>210</v>
      </c>
      <c r="C11" s="271" t="s">
        <v>101</v>
      </c>
      <c r="D11" s="698" t="s">
        <v>105</v>
      </c>
      <c r="E11" s="698"/>
      <c r="F11" s="698"/>
      <c r="G11" s="698" t="s">
        <v>106</v>
      </c>
      <c r="H11" s="698"/>
      <c r="I11" s="698"/>
      <c r="J11" s="698" t="s">
        <v>107</v>
      </c>
      <c r="K11" s="698"/>
      <c r="L11" s="698"/>
      <c r="M11" s="698" t="s">
        <v>108</v>
      </c>
      <c r="N11" s="698"/>
      <c r="O11" s="698"/>
      <c r="P11" s="212"/>
      <c r="Q11" s="246"/>
    </row>
    <row r="12" spans="2:17" ht="68.25" customHeight="1">
      <c r="B12" s="353" t="s">
        <v>99</v>
      </c>
      <c r="C12" s="318" t="s">
        <v>119</v>
      </c>
      <c r="D12" s="699" t="s">
        <v>113</v>
      </c>
      <c r="E12" s="699"/>
      <c r="F12" s="699"/>
      <c r="G12" s="699" t="s">
        <v>114</v>
      </c>
      <c r="H12" s="699"/>
      <c r="I12" s="699"/>
      <c r="J12" s="699" t="s">
        <v>115</v>
      </c>
      <c r="K12" s="699"/>
      <c r="L12" s="699"/>
      <c r="M12" s="699" t="s">
        <v>218</v>
      </c>
      <c r="N12" s="699"/>
      <c r="O12" s="699"/>
      <c r="P12" s="212"/>
      <c r="Q12" s="246"/>
    </row>
    <row r="13" spans="2:17" ht="11.25">
      <c r="B13" s="245"/>
      <c r="C13" s="212"/>
      <c r="D13" s="212"/>
      <c r="E13" s="212"/>
      <c r="F13" s="212"/>
      <c r="G13" s="212"/>
      <c r="H13" s="212"/>
      <c r="I13" s="212"/>
      <c r="J13" s="212"/>
      <c r="K13" s="212"/>
      <c r="L13" s="212"/>
      <c r="M13" s="212"/>
      <c r="N13" s="212"/>
      <c r="O13" s="212"/>
      <c r="P13" s="212"/>
      <c r="Q13" s="246"/>
    </row>
    <row r="14" spans="2:17" ht="11.25">
      <c r="B14" s="245"/>
      <c r="C14" s="212"/>
      <c r="D14" s="212"/>
      <c r="E14" s="212"/>
      <c r="F14" s="212"/>
      <c r="G14" s="212"/>
      <c r="H14" s="212"/>
      <c r="I14" s="212"/>
      <c r="J14" s="212"/>
      <c r="K14" s="212"/>
      <c r="L14" s="212"/>
      <c r="M14" s="212"/>
      <c r="N14" s="212"/>
      <c r="O14" s="212"/>
      <c r="P14" s="212"/>
      <c r="Q14" s="246"/>
    </row>
    <row r="15" spans="2:17" ht="15">
      <c r="B15" s="245"/>
      <c r="C15" s="212"/>
      <c r="D15" s="212"/>
      <c r="E15" s="212"/>
      <c r="F15" s="212"/>
      <c r="G15" s="212"/>
      <c r="H15" s="212"/>
      <c r="I15" s="212"/>
      <c r="J15" s="695" t="s">
        <v>159</v>
      </c>
      <c r="K15" s="696"/>
      <c r="L15" s="696"/>
      <c r="M15" s="696"/>
      <c r="N15" s="696"/>
      <c r="O15" s="696"/>
      <c r="P15" s="696"/>
      <c r="Q15" s="697"/>
    </row>
    <row r="16" spans="2:17" ht="14.25" customHeight="1">
      <c r="B16" s="245"/>
      <c r="C16" s="212"/>
      <c r="D16" s="212"/>
      <c r="E16" s="212"/>
      <c r="F16" s="212"/>
      <c r="G16" s="212"/>
      <c r="H16" s="212"/>
      <c r="I16" s="212"/>
      <c r="J16" s="706"/>
      <c r="K16" s="707"/>
      <c r="L16" s="707"/>
      <c r="M16" s="707"/>
      <c r="N16" s="707"/>
      <c r="O16" s="707"/>
      <c r="P16" s="707"/>
      <c r="Q16" s="682"/>
    </row>
    <row r="17" spans="2:17" ht="11.25" customHeight="1">
      <c r="B17" s="245"/>
      <c r="C17" s="212"/>
      <c r="D17" s="212"/>
      <c r="E17" s="212"/>
      <c r="F17" s="212"/>
      <c r="G17" s="212"/>
      <c r="H17" s="212"/>
      <c r="I17" s="212"/>
      <c r="J17" s="645" t="s">
        <v>211</v>
      </c>
      <c r="K17" s="637"/>
      <c r="L17" s="637"/>
      <c r="M17" s="637"/>
      <c r="N17" s="637"/>
      <c r="O17" s="637"/>
      <c r="P17" s="637"/>
      <c r="Q17" s="638"/>
    </row>
    <row r="18" spans="2:17" ht="14.25" customHeight="1">
      <c r="B18" s="245"/>
      <c r="C18" s="212"/>
      <c r="D18" s="212"/>
      <c r="E18" s="212"/>
      <c r="F18" s="212"/>
      <c r="G18" s="212"/>
      <c r="H18" s="212"/>
      <c r="I18" s="212"/>
      <c r="J18" s="319"/>
      <c r="K18" s="320"/>
      <c r="L18" s="320"/>
      <c r="M18" s="320"/>
      <c r="N18" s="320"/>
      <c r="O18" s="320"/>
      <c r="P18" s="320"/>
      <c r="Q18" s="354"/>
    </row>
    <row r="19" spans="2:17" ht="11.25" customHeight="1">
      <c r="B19" s="245"/>
      <c r="C19" s="212"/>
      <c r="D19" s="212"/>
      <c r="E19" s="212"/>
      <c r="F19" s="212"/>
      <c r="G19" s="212"/>
      <c r="H19" s="212"/>
      <c r="I19" s="212"/>
      <c r="J19" s="700" t="s">
        <v>24</v>
      </c>
      <c r="K19" s="701"/>
      <c r="L19" s="701"/>
      <c r="M19" s="701"/>
      <c r="N19" s="701"/>
      <c r="O19" s="701"/>
      <c r="P19" s="701"/>
      <c r="Q19" s="702"/>
    </row>
    <row r="20" spans="2:17" ht="11.25" customHeight="1">
      <c r="B20" s="245"/>
      <c r="C20" s="212"/>
      <c r="D20" s="212"/>
      <c r="E20" s="212"/>
      <c r="F20" s="212"/>
      <c r="G20" s="212"/>
      <c r="H20" s="212"/>
      <c r="I20" s="212"/>
      <c r="J20" s="700"/>
      <c r="K20" s="701"/>
      <c r="L20" s="701"/>
      <c r="M20" s="701"/>
      <c r="N20" s="701"/>
      <c r="O20" s="701"/>
      <c r="P20" s="701"/>
      <c r="Q20" s="702"/>
    </row>
    <row r="21" spans="2:17" ht="11.25" customHeight="1">
      <c r="B21" s="245"/>
      <c r="C21" s="212"/>
      <c r="D21" s="212"/>
      <c r="E21" s="212"/>
      <c r="F21" s="212"/>
      <c r="G21" s="212"/>
      <c r="H21" s="212"/>
      <c r="I21" s="212"/>
      <c r="J21" s="700"/>
      <c r="K21" s="701"/>
      <c r="L21" s="701"/>
      <c r="M21" s="701"/>
      <c r="N21" s="701"/>
      <c r="O21" s="701"/>
      <c r="P21" s="701"/>
      <c r="Q21" s="702"/>
    </row>
    <row r="22" spans="2:17" ht="11.25" customHeight="1">
      <c r="B22" s="245"/>
      <c r="C22" s="212"/>
      <c r="D22" s="212"/>
      <c r="E22" s="212"/>
      <c r="F22" s="212"/>
      <c r="G22" s="212"/>
      <c r="H22" s="212"/>
      <c r="I22" s="212"/>
      <c r="J22" s="700"/>
      <c r="K22" s="701"/>
      <c r="L22" s="701"/>
      <c r="M22" s="701"/>
      <c r="N22" s="701"/>
      <c r="O22" s="701"/>
      <c r="P22" s="701"/>
      <c r="Q22" s="702"/>
    </row>
    <row r="23" spans="2:17" ht="11.25" customHeight="1">
      <c r="B23" s="245"/>
      <c r="C23" s="212"/>
      <c r="D23" s="212"/>
      <c r="E23" s="212"/>
      <c r="F23" s="212"/>
      <c r="G23" s="212"/>
      <c r="H23" s="212"/>
      <c r="I23" s="212"/>
      <c r="J23" s="700"/>
      <c r="K23" s="701"/>
      <c r="L23" s="701"/>
      <c r="M23" s="701"/>
      <c r="N23" s="701"/>
      <c r="O23" s="701"/>
      <c r="P23" s="701"/>
      <c r="Q23" s="702"/>
    </row>
    <row r="24" spans="2:17" ht="11.25" customHeight="1">
      <c r="B24" s="245"/>
      <c r="C24" s="212"/>
      <c r="D24" s="212"/>
      <c r="E24" s="212"/>
      <c r="F24" s="212"/>
      <c r="G24" s="212"/>
      <c r="H24" s="212"/>
      <c r="I24" s="212"/>
      <c r="J24" s="700"/>
      <c r="K24" s="701"/>
      <c r="L24" s="701"/>
      <c r="M24" s="701"/>
      <c r="N24" s="701"/>
      <c r="O24" s="701"/>
      <c r="P24" s="701"/>
      <c r="Q24" s="702"/>
    </row>
    <row r="25" spans="2:17" ht="11.25" customHeight="1">
      <c r="B25" s="245"/>
      <c r="C25" s="212"/>
      <c r="D25" s="212"/>
      <c r="E25" s="212"/>
      <c r="F25" s="212"/>
      <c r="G25" s="212"/>
      <c r="H25" s="212"/>
      <c r="I25" s="212"/>
      <c r="J25" s="700"/>
      <c r="K25" s="701"/>
      <c r="L25" s="701"/>
      <c r="M25" s="701"/>
      <c r="N25" s="701"/>
      <c r="O25" s="701"/>
      <c r="P25" s="701"/>
      <c r="Q25" s="702"/>
    </row>
    <row r="26" spans="2:17" ht="11.25" customHeight="1">
      <c r="B26" s="245"/>
      <c r="C26" s="212"/>
      <c r="D26" s="212"/>
      <c r="E26" s="212"/>
      <c r="F26" s="212"/>
      <c r="G26" s="212"/>
      <c r="H26" s="212"/>
      <c r="I26" s="212"/>
      <c r="J26" s="700"/>
      <c r="K26" s="701"/>
      <c r="L26" s="701"/>
      <c r="M26" s="701"/>
      <c r="N26" s="701"/>
      <c r="O26" s="701"/>
      <c r="P26" s="701"/>
      <c r="Q26" s="702"/>
    </row>
    <row r="27" spans="2:17" ht="11.25" customHeight="1">
      <c r="B27" s="245"/>
      <c r="C27" s="212"/>
      <c r="D27" s="212"/>
      <c r="E27" s="212"/>
      <c r="F27" s="212"/>
      <c r="G27" s="212"/>
      <c r="H27" s="212"/>
      <c r="I27" s="212"/>
      <c r="J27" s="700"/>
      <c r="K27" s="701"/>
      <c r="L27" s="701"/>
      <c r="M27" s="701"/>
      <c r="N27" s="701"/>
      <c r="O27" s="701"/>
      <c r="P27" s="701"/>
      <c r="Q27" s="702"/>
    </row>
    <row r="28" spans="2:17" ht="11.25" customHeight="1">
      <c r="B28" s="245"/>
      <c r="C28" s="212"/>
      <c r="D28" s="212"/>
      <c r="E28" s="212"/>
      <c r="F28" s="212"/>
      <c r="G28" s="212"/>
      <c r="H28" s="212"/>
      <c r="I28" s="212"/>
      <c r="J28" s="700"/>
      <c r="K28" s="701"/>
      <c r="L28" s="701"/>
      <c r="M28" s="701"/>
      <c r="N28" s="701"/>
      <c r="O28" s="701"/>
      <c r="P28" s="701"/>
      <c r="Q28" s="702"/>
    </row>
    <row r="29" spans="2:17" ht="11.25">
      <c r="B29" s="245"/>
      <c r="C29" s="212"/>
      <c r="D29" s="212"/>
      <c r="E29" s="212"/>
      <c r="F29" s="212"/>
      <c r="G29" s="212"/>
      <c r="H29" s="212"/>
      <c r="I29" s="212"/>
      <c r="J29" s="700"/>
      <c r="K29" s="701"/>
      <c r="L29" s="701"/>
      <c r="M29" s="701"/>
      <c r="N29" s="701"/>
      <c r="O29" s="701"/>
      <c r="P29" s="701"/>
      <c r="Q29" s="702"/>
    </row>
    <row r="30" spans="2:17" ht="11.25">
      <c r="B30" s="245"/>
      <c r="C30" s="212"/>
      <c r="D30" s="212"/>
      <c r="E30" s="212"/>
      <c r="F30" s="212"/>
      <c r="G30" s="212"/>
      <c r="H30" s="212"/>
      <c r="I30" s="212"/>
      <c r="J30" s="700"/>
      <c r="K30" s="701"/>
      <c r="L30" s="701"/>
      <c r="M30" s="701"/>
      <c r="N30" s="701"/>
      <c r="O30" s="701"/>
      <c r="P30" s="701"/>
      <c r="Q30" s="702"/>
    </row>
    <row r="31" spans="2:17" ht="11.25">
      <c r="B31" s="245"/>
      <c r="C31" s="212"/>
      <c r="D31" s="212"/>
      <c r="E31" s="212"/>
      <c r="F31" s="212"/>
      <c r="G31" s="212"/>
      <c r="H31" s="212"/>
      <c r="I31" s="212"/>
      <c r="J31" s="700"/>
      <c r="K31" s="701"/>
      <c r="L31" s="701"/>
      <c r="M31" s="701"/>
      <c r="N31" s="701"/>
      <c r="O31" s="701"/>
      <c r="P31" s="701"/>
      <c r="Q31" s="702"/>
    </row>
    <row r="32" spans="2:17" ht="11.25">
      <c r="B32" s="245"/>
      <c r="C32" s="212"/>
      <c r="D32" s="212"/>
      <c r="E32" s="212"/>
      <c r="F32" s="212"/>
      <c r="G32" s="212"/>
      <c r="H32" s="212"/>
      <c r="I32" s="212"/>
      <c r="J32" s="700"/>
      <c r="K32" s="701"/>
      <c r="L32" s="701"/>
      <c r="M32" s="701"/>
      <c r="N32" s="701"/>
      <c r="O32" s="701"/>
      <c r="P32" s="701"/>
      <c r="Q32" s="702"/>
    </row>
    <row r="33" spans="2:17" ht="11.25">
      <c r="B33" s="245"/>
      <c r="C33" s="212"/>
      <c r="D33" s="212"/>
      <c r="E33" s="212"/>
      <c r="F33" s="212"/>
      <c r="G33" s="212"/>
      <c r="H33" s="212"/>
      <c r="I33" s="212"/>
      <c r="J33" s="700"/>
      <c r="K33" s="701"/>
      <c r="L33" s="701"/>
      <c r="M33" s="701"/>
      <c r="N33" s="701"/>
      <c r="O33" s="701"/>
      <c r="P33" s="701"/>
      <c r="Q33" s="702"/>
    </row>
    <row r="34" spans="2:17" ht="11.25">
      <c r="B34" s="245"/>
      <c r="C34" s="212"/>
      <c r="D34" s="212"/>
      <c r="E34" s="212"/>
      <c r="F34" s="212"/>
      <c r="G34" s="212"/>
      <c r="H34" s="212"/>
      <c r="I34" s="212"/>
      <c r="J34" s="703"/>
      <c r="K34" s="704"/>
      <c r="L34" s="704"/>
      <c r="M34" s="704"/>
      <c r="N34" s="704"/>
      <c r="O34" s="704"/>
      <c r="P34" s="704"/>
      <c r="Q34" s="705"/>
    </row>
    <row r="35" spans="2:17" ht="11.25">
      <c r="B35" s="245"/>
      <c r="C35" s="212"/>
      <c r="D35" s="212"/>
      <c r="E35" s="212"/>
      <c r="F35" s="212"/>
      <c r="G35" s="212"/>
      <c r="H35" s="212"/>
      <c r="I35" s="321"/>
      <c r="J35" s="321"/>
      <c r="K35" s="321"/>
      <c r="L35" s="321"/>
      <c r="M35" s="212"/>
      <c r="N35" s="212"/>
      <c r="O35" s="212"/>
      <c r="P35" s="212"/>
      <c r="Q35" s="246"/>
    </row>
    <row r="36" spans="2:17" ht="11.25">
      <c r="B36" s="245"/>
      <c r="C36" s="212"/>
      <c r="D36" s="212"/>
      <c r="E36" s="212"/>
      <c r="F36" s="212"/>
      <c r="G36" s="212"/>
      <c r="H36" s="212"/>
      <c r="I36" s="321"/>
      <c r="J36" s="321"/>
      <c r="K36" s="321"/>
      <c r="L36" s="321"/>
      <c r="M36" s="212"/>
      <c r="N36" s="212"/>
      <c r="O36" s="212"/>
      <c r="P36" s="212"/>
      <c r="Q36" s="246"/>
    </row>
    <row r="37" spans="2:17" ht="11.25">
      <c r="B37" s="245"/>
      <c r="C37" s="212"/>
      <c r="D37" s="212"/>
      <c r="E37" s="212"/>
      <c r="F37" s="212"/>
      <c r="G37" s="212"/>
      <c r="H37" s="212"/>
      <c r="I37" s="212"/>
      <c r="J37" s="212"/>
      <c r="K37" s="212"/>
      <c r="L37" s="212"/>
      <c r="M37" s="212"/>
      <c r="N37" s="212"/>
      <c r="O37" s="212"/>
      <c r="P37" s="212"/>
      <c r="Q37" s="246"/>
    </row>
    <row r="38" spans="2:17" ht="15.75">
      <c r="B38" s="227" t="s">
        <v>152</v>
      </c>
      <c r="C38" s="212"/>
      <c r="D38" s="212"/>
      <c r="E38" s="212"/>
      <c r="F38" s="212"/>
      <c r="G38" s="212"/>
      <c r="H38" s="212"/>
      <c r="I38" s="212"/>
      <c r="J38" s="212"/>
      <c r="K38" s="212"/>
      <c r="L38" s="212"/>
      <c r="M38" s="212"/>
      <c r="N38" s="212"/>
      <c r="O38" s="212"/>
      <c r="P38" s="212"/>
      <c r="Q38" s="246"/>
    </row>
    <row r="39" spans="2:17" ht="11.25">
      <c r="B39" s="245"/>
      <c r="C39" s="212"/>
      <c r="D39" s="212"/>
      <c r="E39" s="212"/>
      <c r="F39" s="212"/>
      <c r="G39" s="212"/>
      <c r="H39" s="212"/>
      <c r="I39" s="212"/>
      <c r="J39" s="212"/>
      <c r="K39" s="212"/>
      <c r="L39" s="212"/>
      <c r="M39" s="212"/>
      <c r="N39" s="212"/>
      <c r="O39" s="212"/>
      <c r="P39" s="212"/>
      <c r="Q39" s="246"/>
    </row>
    <row r="40" spans="2:17" ht="11.25">
      <c r="B40" s="245"/>
      <c r="C40" s="212"/>
      <c r="D40" s="212"/>
      <c r="E40" s="212"/>
      <c r="F40" s="212"/>
      <c r="G40" s="212"/>
      <c r="H40" s="212"/>
      <c r="I40" s="212"/>
      <c r="J40" s="212"/>
      <c r="K40" s="212"/>
      <c r="L40" s="212"/>
      <c r="M40" s="212"/>
      <c r="N40" s="212"/>
      <c r="O40" s="212"/>
      <c r="P40" s="212"/>
      <c r="Q40" s="246"/>
    </row>
    <row r="41" spans="2:17" ht="11.25">
      <c r="B41" s="245"/>
      <c r="C41" s="212"/>
      <c r="D41" s="212"/>
      <c r="E41" s="212"/>
      <c r="F41" s="212"/>
      <c r="G41" s="212"/>
      <c r="H41" s="212"/>
      <c r="I41" s="212"/>
      <c r="J41" s="212"/>
      <c r="K41" s="212"/>
      <c r="L41" s="212"/>
      <c r="M41" s="212"/>
      <c r="N41" s="212"/>
      <c r="O41" s="212"/>
      <c r="P41" s="212"/>
      <c r="Q41" s="246"/>
    </row>
    <row r="42" spans="2:17" ht="11.25">
      <c r="B42" s="245"/>
      <c r="C42" s="212"/>
      <c r="D42" s="212"/>
      <c r="E42" s="212"/>
      <c r="F42" s="212"/>
      <c r="G42" s="212"/>
      <c r="H42" s="212"/>
      <c r="I42" s="212"/>
      <c r="J42" s="212"/>
      <c r="K42" s="212"/>
      <c r="L42" s="212"/>
      <c r="M42" s="212"/>
      <c r="N42" s="212"/>
      <c r="O42" s="212"/>
      <c r="P42" s="212"/>
      <c r="Q42" s="246"/>
    </row>
    <row r="43" spans="2:17" ht="11.25">
      <c r="B43" s="245"/>
      <c r="C43" s="212"/>
      <c r="D43" s="212"/>
      <c r="E43" s="212"/>
      <c r="F43" s="212"/>
      <c r="G43" s="212"/>
      <c r="H43" s="212"/>
      <c r="I43" s="212"/>
      <c r="J43" s="212"/>
      <c r="K43" s="212"/>
      <c r="L43" s="212"/>
      <c r="M43" s="212"/>
      <c r="N43" s="212"/>
      <c r="O43" s="212"/>
      <c r="P43" s="212"/>
      <c r="Q43" s="246"/>
    </row>
    <row r="44" spans="2:17" ht="11.25">
      <c r="B44" s="245"/>
      <c r="C44" s="212"/>
      <c r="D44" s="212"/>
      <c r="E44" s="212"/>
      <c r="F44" s="212"/>
      <c r="G44" s="212"/>
      <c r="H44" s="212"/>
      <c r="I44" s="212"/>
      <c r="J44" s="212"/>
      <c r="K44" s="212"/>
      <c r="L44" s="212"/>
      <c r="M44" s="212"/>
      <c r="N44" s="212"/>
      <c r="O44" s="212"/>
      <c r="P44" s="212"/>
      <c r="Q44" s="246"/>
    </row>
    <row r="45" spans="2:17" ht="11.25">
      <c r="B45" s="245"/>
      <c r="C45" s="212"/>
      <c r="D45" s="212"/>
      <c r="E45" s="212"/>
      <c r="F45" s="212"/>
      <c r="G45" s="212"/>
      <c r="H45" s="212"/>
      <c r="I45" s="212"/>
      <c r="J45" s="212"/>
      <c r="K45" s="212"/>
      <c r="L45" s="212"/>
      <c r="M45" s="212"/>
      <c r="N45" s="212"/>
      <c r="O45" s="212"/>
      <c r="P45" s="212"/>
      <c r="Q45" s="246"/>
    </row>
    <row r="46" spans="2:17" ht="11.25">
      <c r="B46" s="245"/>
      <c r="C46" s="212"/>
      <c r="D46" s="212"/>
      <c r="E46" s="212"/>
      <c r="F46" s="212"/>
      <c r="G46" s="212"/>
      <c r="H46" s="212"/>
      <c r="I46" s="212"/>
      <c r="J46" s="212"/>
      <c r="K46" s="212"/>
      <c r="L46" s="212"/>
      <c r="M46" s="212"/>
      <c r="N46" s="212"/>
      <c r="O46" s="212"/>
      <c r="P46" s="212"/>
      <c r="Q46" s="246"/>
    </row>
    <row r="47" spans="2:17" ht="11.25">
      <c r="B47" s="245"/>
      <c r="C47" s="212"/>
      <c r="D47" s="212"/>
      <c r="E47" s="212"/>
      <c r="F47" s="212"/>
      <c r="G47" s="212"/>
      <c r="H47" s="212"/>
      <c r="I47" s="212"/>
      <c r="J47" s="212"/>
      <c r="K47" s="212"/>
      <c r="L47" s="212"/>
      <c r="M47" s="212"/>
      <c r="N47" s="212"/>
      <c r="O47" s="212"/>
      <c r="P47" s="212"/>
      <c r="Q47" s="246"/>
    </row>
    <row r="48" spans="2:17" ht="11.25">
      <c r="B48" s="245"/>
      <c r="C48" s="212"/>
      <c r="D48" s="212"/>
      <c r="E48" s="212"/>
      <c r="F48" s="212"/>
      <c r="G48" s="212"/>
      <c r="H48" s="212"/>
      <c r="I48" s="212"/>
      <c r="J48" s="212"/>
      <c r="K48" s="212"/>
      <c r="L48" s="212"/>
      <c r="M48" s="212"/>
      <c r="N48" s="212"/>
      <c r="O48" s="212"/>
      <c r="P48" s="212"/>
      <c r="Q48" s="246"/>
    </row>
    <row r="49" spans="2:17" ht="11.25">
      <c r="B49" s="245"/>
      <c r="C49" s="212"/>
      <c r="D49" s="212"/>
      <c r="E49" s="212"/>
      <c r="F49" s="212"/>
      <c r="G49" s="212"/>
      <c r="H49" s="212"/>
      <c r="I49" s="212"/>
      <c r="J49" s="212"/>
      <c r="K49" s="212"/>
      <c r="L49" s="212"/>
      <c r="M49" s="212"/>
      <c r="N49" s="212"/>
      <c r="O49" s="212"/>
      <c r="P49" s="212"/>
      <c r="Q49" s="246"/>
    </row>
    <row r="50" spans="2:17" ht="11.25">
      <c r="B50" s="245"/>
      <c r="C50" s="212"/>
      <c r="D50" s="212"/>
      <c r="E50" s="212"/>
      <c r="F50" s="212"/>
      <c r="G50" s="212"/>
      <c r="H50" s="212"/>
      <c r="I50" s="212"/>
      <c r="J50" s="212"/>
      <c r="K50" s="212"/>
      <c r="L50" s="212"/>
      <c r="M50" s="212"/>
      <c r="N50" s="212"/>
      <c r="O50" s="212"/>
      <c r="P50" s="212"/>
      <c r="Q50" s="246"/>
    </row>
    <row r="51" spans="2:17" ht="11.25">
      <c r="B51" s="245"/>
      <c r="C51" s="212"/>
      <c r="D51" s="212"/>
      <c r="E51" s="212"/>
      <c r="F51" s="212"/>
      <c r="G51" s="212"/>
      <c r="H51" s="212"/>
      <c r="I51" s="212"/>
      <c r="J51" s="212"/>
      <c r="K51" s="212"/>
      <c r="L51" s="212"/>
      <c r="M51" s="212"/>
      <c r="N51" s="212"/>
      <c r="O51" s="212"/>
      <c r="P51" s="212"/>
      <c r="Q51" s="246"/>
    </row>
    <row r="52" spans="2:17" ht="11.25">
      <c r="B52" s="245"/>
      <c r="C52" s="212"/>
      <c r="D52" s="212"/>
      <c r="E52" s="212"/>
      <c r="F52" s="212"/>
      <c r="G52" s="212"/>
      <c r="H52" s="212"/>
      <c r="I52" s="212"/>
      <c r="J52" s="212"/>
      <c r="K52" s="212"/>
      <c r="L52" s="212"/>
      <c r="M52" s="212"/>
      <c r="N52" s="212"/>
      <c r="O52" s="212"/>
      <c r="P52" s="212"/>
      <c r="Q52" s="246"/>
    </row>
    <row r="53" spans="2:17" ht="11.25">
      <c r="B53" s="245"/>
      <c r="C53" s="212"/>
      <c r="D53" s="212"/>
      <c r="E53" s="212"/>
      <c r="F53" s="212"/>
      <c r="G53" s="212"/>
      <c r="H53" s="212"/>
      <c r="I53" s="212"/>
      <c r="J53" s="212"/>
      <c r="K53" s="212"/>
      <c r="L53" s="212"/>
      <c r="M53" s="212"/>
      <c r="N53" s="212"/>
      <c r="O53" s="212"/>
      <c r="P53" s="212"/>
      <c r="Q53" s="246"/>
    </row>
    <row r="54" spans="2:17" ht="11.25">
      <c r="B54" s="245"/>
      <c r="C54" s="212"/>
      <c r="D54" s="212"/>
      <c r="E54" s="212"/>
      <c r="F54" s="212"/>
      <c r="G54" s="212"/>
      <c r="H54" s="212"/>
      <c r="I54" s="212"/>
      <c r="J54" s="212"/>
      <c r="K54" s="212"/>
      <c r="L54" s="212"/>
      <c r="M54" s="212"/>
      <c r="N54" s="212"/>
      <c r="O54" s="212"/>
      <c r="P54" s="212"/>
      <c r="Q54" s="246"/>
    </row>
    <row r="55" spans="2:17" ht="11.25">
      <c r="B55" s="245"/>
      <c r="C55" s="212"/>
      <c r="D55" s="212"/>
      <c r="E55" s="212"/>
      <c r="F55" s="212"/>
      <c r="G55" s="212"/>
      <c r="H55" s="212"/>
      <c r="I55" s="212"/>
      <c r="J55" s="212"/>
      <c r="K55" s="212"/>
      <c r="L55" s="212"/>
      <c r="M55" s="212"/>
      <c r="N55" s="212"/>
      <c r="O55" s="212"/>
      <c r="P55" s="212"/>
      <c r="Q55" s="246"/>
    </row>
    <row r="56" spans="2:17" ht="11.25">
      <c r="B56" s="245"/>
      <c r="C56" s="212"/>
      <c r="D56" s="212"/>
      <c r="E56" s="212"/>
      <c r="F56" s="212"/>
      <c r="G56" s="212"/>
      <c r="H56" s="212"/>
      <c r="I56" s="212"/>
      <c r="J56" s="212"/>
      <c r="K56" s="212"/>
      <c r="L56" s="212"/>
      <c r="M56" s="212"/>
      <c r="N56" s="212"/>
      <c r="O56" s="212"/>
      <c r="P56" s="212"/>
      <c r="Q56" s="246"/>
    </row>
    <row r="57" spans="2:17" ht="11.25">
      <c r="B57" s="245"/>
      <c r="C57" s="212"/>
      <c r="D57" s="212"/>
      <c r="E57" s="212"/>
      <c r="F57" s="212"/>
      <c r="G57" s="212"/>
      <c r="H57" s="212"/>
      <c r="I57" s="212"/>
      <c r="J57" s="212"/>
      <c r="K57" s="212"/>
      <c r="L57" s="212"/>
      <c r="M57" s="212"/>
      <c r="N57" s="212"/>
      <c r="O57" s="212"/>
      <c r="P57" s="212"/>
      <c r="Q57" s="246"/>
    </row>
    <row r="58" spans="2:17" ht="11.25">
      <c r="B58" s="245"/>
      <c r="C58" s="212"/>
      <c r="D58" s="212"/>
      <c r="E58" s="212"/>
      <c r="F58" s="212"/>
      <c r="G58" s="212"/>
      <c r="H58" s="212"/>
      <c r="I58" s="212"/>
      <c r="J58" s="212"/>
      <c r="K58" s="212"/>
      <c r="L58" s="212"/>
      <c r="M58" s="212"/>
      <c r="N58" s="212"/>
      <c r="O58" s="212"/>
      <c r="P58" s="212"/>
      <c r="Q58" s="246"/>
    </row>
    <row r="59" spans="2:17" ht="11.25">
      <c r="B59" s="245"/>
      <c r="C59" s="212"/>
      <c r="D59" s="212"/>
      <c r="E59" s="212"/>
      <c r="F59" s="212"/>
      <c r="G59" s="212"/>
      <c r="H59" s="212"/>
      <c r="I59" s="212"/>
      <c r="J59" s="212"/>
      <c r="K59" s="212"/>
      <c r="L59" s="212"/>
      <c r="M59" s="212"/>
      <c r="N59" s="212"/>
      <c r="O59" s="212"/>
      <c r="P59" s="212"/>
      <c r="Q59" s="246"/>
    </row>
    <row r="60" spans="2:17" ht="11.25">
      <c r="B60" s="245"/>
      <c r="C60" s="212"/>
      <c r="D60" s="212"/>
      <c r="E60" s="212"/>
      <c r="F60" s="212"/>
      <c r="G60" s="212"/>
      <c r="H60" s="212"/>
      <c r="I60" s="212"/>
      <c r="J60" s="212"/>
      <c r="K60" s="212"/>
      <c r="L60" s="212"/>
      <c r="M60" s="212"/>
      <c r="N60" s="212"/>
      <c r="O60" s="212"/>
      <c r="P60" s="212"/>
      <c r="Q60" s="246"/>
    </row>
    <row r="61" spans="2:17" ht="11.25">
      <c r="B61" s="245"/>
      <c r="C61" s="212"/>
      <c r="D61" s="212"/>
      <c r="E61" s="212"/>
      <c r="F61" s="212"/>
      <c r="G61" s="212"/>
      <c r="H61" s="212"/>
      <c r="I61" s="212"/>
      <c r="J61" s="212"/>
      <c r="K61" s="212"/>
      <c r="L61" s="212"/>
      <c r="M61" s="212"/>
      <c r="N61" s="212"/>
      <c r="O61" s="212"/>
      <c r="P61" s="212"/>
      <c r="Q61" s="246"/>
    </row>
    <row r="62" spans="2:17" ht="11.25">
      <c r="B62" s="245"/>
      <c r="C62" s="212"/>
      <c r="D62" s="212"/>
      <c r="E62" s="212"/>
      <c r="F62" s="212"/>
      <c r="G62" s="212"/>
      <c r="H62" s="212"/>
      <c r="I62" s="212"/>
      <c r="J62" s="212"/>
      <c r="K62" s="212"/>
      <c r="L62" s="212"/>
      <c r="M62" s="212"/>
      <c r="N62" s="212"/>
      <c r="O62" s="212"/>
      <c r="P62" s="212"/>
      <c r="Q62" s="246"/>
    </row>
    <row r="63" spans="2:17" ht="11.25">
      <c r="B63" s="686" t="s">
        <v>266</v>
      </c>
      <c r="C63" s="687"/>
      <c r="D63" s="687"/>
      <c r="E63" s="687"/>
      <c r="F63" s="687"/>
      <c r="G63" s="687"/>
      <c r="H63" s="687"/>
      <c r="I63" s="212"/>
      <c r="J63" s="687" t="s">
        <v>267</v>
      </c>
      <c r="K63" s="687"/>
      <c r="L63" s="687"/>
      <c r="M63" s="687"/>
      <c r="N63" s="687"/>
      <c r="O63" s="687"/>
      <c r="P63" s="687"/>
      <c r="Q63" s="688"/>
    </row>
    <row r="64" spans="2:17" ht="11.25">
      <c r="B64" s="686"/>
      <c r="C64" s="687"/>
      <c r="D64" s="687"/>
      <c r="E64" s="687"/>
      <c r="F64" s="687"/>
      <c r="G64" s="687"/>
      <c r="H64" s="687"/>
      <c r="I64" s="212"/>
      <c r="J64" s="687"/>
      <c r="K64" s="687"/>
      <c r="L64" s="687"/>
      <c r="M64" s="687"/>
      <c r="N64" s="687"/>
      <c r="O64" s="687"/>
      <c r="P64" s="687"/>
      <c r="Q64" s="688"/>
    </row>
    <row r="65" spans="2:17" ht="11.25">
      <c r="B65" s="686"/>
      <c r="C65" s="687"/>
      <c r="D65" s="687"/>
      <c r="E65" s="687"/>
      <c r="F65" s="687"/>
      <c r="G65" s="687"/>
      <c r="H65" s="687"/>
      <c r="I65" s="212"/>
      <c r="J65" s="687"/>
      <c r="K65" s="687"/>
      <c r="L65" s="687"/>
      <c r="M65" s="687"/>
      <c r="N65" s="687"/>
      <c r="O65" s="687"/>
      <c r="P65" s="687"/>
      <c r="Q65" s="688"/>
    </row>
    <row r="66" spans="2:17" ht="11.25">
      <c r="B66" s="686"/>
      <c r="C66" s="687"/>
      <c r="D66" s="687"/>
      <c r="E66" s="687"/>
      <c r="F66" s="687"/>
      <c r="G66" s="687"/>
      <c r="H66" s="687"/>
      <c r="I66" s="212"/>
      <c r="J66" s="687"/>
      <c r="K66" s="687"/>
      <c r="L66" s="687"/>
      <c r="M66" s="687"/>
      <c r="N66" s="687"/>
      <c r="O66" s="687"/>
      <c r="P66" s="687"/>
      <c r="Q66" s="688"/>
    </row>
    <row r="67" spans="2:17" ht="11.25">
      <c r="B67" s="686"/>
      <c r="C67" s="687"/>
      <c r="D67" s="687"/>
      <c r="E67" s="687"/>
      <c r="F67" s="687"/>
      <c r="G67" s="687"/>
      <c r="H67" s="687"/>
      <c r="I67" s="212"/>
      <c r="J67" s="687"/>
      <c r="K67" s="687"/>
      <c r="L67" s="687"/>
      <c r="M67" s="687"/>
      <c r="N67" s="687"/>
      <c r="O67" s="687"/>
      <c r="P67" s="687"/>
      <c r="Q67" s="688"/>
    </row>
    <row r="68" spans="2:17" ht="11.25">
      <c r="B68" s="686"/>
      <c r="C68" s="687"/>
      <c r="D68" s="687"/>
      <c r="E68" s="687"/>
      <c r="F68" s="687"/>
      <c r="G68" s="687"/>
      <c r="H68" s="687"/>
      <c r="I68" s="212"/>
      <c r="J68" s="687"/>
      <c r="K68" s="687"/>
      <c r="L68" s="687"/>
      <c r="M68" s="687"/>
      <c r="N68" s="687"/>
      <c r="O68" s="687"/>
      <c r="P68" s="687"/>
      <c r="Q68" s="688"/>
    </row>
    <row r="69" spans="2:17" ht="11.25">
      <c r="B69" s="686"/>
      <c r="C69" s="687"/>
      <c r="D69" s="687"/>
      <c r="E69" s="687"/>
      <c r="F69" s="687"/>
      <c r="G69" s="687"/>
      <c r="H69" s="687"/>
      <c r="I69" s="212"/>
      <c r="J69" s="687"/>
      <c r="K69" s="687"/>
      <c r="L69" s="687"/>
      <c r="M69" s="687"/>
      <c r="N69" s="687"/>
      <c r="O69" s="687"/>
      <c r="P69" s="687"/>
      <c r="Q69" s="688"/>
    </row>
    <row r="70" spans="2:17" ht="11.25">
      <c r="B70" s="686"/>
      <c r="C70" s="687"/>
      <c r="D70" s="687"/>
      <c r="E70" s="687"/>
      <c r="F70" s="687"/>
      <c r="G70" s="687"/>
      <c r="H70" s="687"/>
      <c r="I70" s="212"/>
      <c r="J70" s="687"/>
      <c r="K70" s="687"/>
      <c r="L70" s="687"/>
      <c r="M70" s="687"/>
      <c r="N70" s="687"/>
      <c r="O70" s="687"/>
      <c r="P70" s="687"/>
      <c r="Q70" s="688"/>
    </row>
    <row r="71" spans="2:17" ht="11.25">
      <c r="B71" s="686"/>
      <c r="C71" s="687"/>
      <c r="D71" s="687"/>
      <c r="E71" s="687"/>
      <c r="F71" s="687"/>
      <c r="G71" s="687"/>
      <c r="H71" s="687"/>
      <c r="I71" s="212"/>
      <c r="J71" s="687"/>
      <c r="K71" s="687"/>
      <c r="L71" s="687"/>
      <c r="M71" s="687"/>
      <c r="N71" s="687"/>
      <c r="O71" s="687"/>
      <c r="P71" s="687"/>
      <c r="Q71" s="688"/>
    </row>
    <row r="72" spans="2:17" ht="11.25">
      <c r="B72" s="686"/>
      <c r="C72" s="687"/>
      <c r="D72" s="687"/>
      <c r="E72" s="687"/>
      <c r="F72" s="687"/>
      <c r="G72" s="687"/>
      <c r="H72" s="687"/>
      <c r="I72" s="212"/>
      <c r="J72" s="687"/>
      <c r="K72" s="687"/>
      <c r="L72" s="687"/>
      <c r="M72" s="687"/>
      <c r="N72" s="687"/>
      <c r="O72" s="687"/>
      <c r="P72" s="687"/>
      <c r="Q72" s="688"/>
    </row>
    <row r="73" spans="2:17" ht="11.25">
      <c r="B73" s="686"/>
      <c r="C73" s="687"/>
      <c r="D73" s="687"/>
      <c r="E73" s="687"/>
      <c r="F73" s="687"/>
      <c r="G73" s="687"/>
      <c r="H73" s="687"/>
      <c r="I73" s="212"/>
      <c r="J73" s="687"/>
      <c r="K73" s="687"/>
      <c r="L73" s="687"/>
      <c r="M73" s="687"/>
      <c r="N73" s="687"/>
      <c r="O73" s="687"/>
      <c r="P73" s="687"/>
      <c r="Q73" s="688"/>
    </row>
    <row r="74" spans="2:17" ht="11.25">
      <c r="B74" s="686"/>
      <c r="C74" s="687"/>
      <c r="D74" s="687"/>
      <c r="E74" s="687"/>
      <c r="F74" s="687"/>
      <c r="G74" s="687"/>
      <c r="H74" s="687"/>
      <c r="I74" s="212"/>
      <c r="J74" s="687"/>
      <c r="K74" s="687"/>
      <c r="L74" s="687"/>
      <c r="M74" s="687"/>
      <c r="N74" s="687"/>
      <c r="O74" s="687"/>
      <c r="P74" s="687"/>
      <c r="Q74" s="688"/>
    </row>
    <row r="75" spans="2:17" ht="24" customHeight="1">
      <c r="B75" s="686"/>
      <c r="C75" s="687"/>
      <c r="D75" s="687"/>
      <c r="E75" s="687"/>
      <c r="F75" s="687"/>
      <c r="G75" s="687"/>
      <c r="H75" s="687"/>
      <c r="I75" s="212"/>
      <c r="J75" s="687"/>
      <c r="K75" s="687"/>
      <c r="L75" s="687"/>
      <c r="M75" s="687"/>
      <c r="N75" s="687"/>
      <c r="O75" s="687"/>
      <c r="P75" s="687"/>
      <c r="Q75" s="688"/>
    </row>
    <row r="76" spans="2:17" ht="11.25">
      <c r="B76" s="245"/>
      <c r="C76" s="212"/>
      <c r="D76" s="212"/>
      <c r="E76" s="212"/>
      <c r="F76" s="212"/>
      <c r="G76" s="212"/>
      <c r="H76" s="212"/>
      <c r="I76" s="212"/>
      <c r="J76" s="212"/>
      <c r="K76" s="212"/>
      <c r="L76" s="212"/>
      <c r="M76" s="212"/>
      <c r="N76" s="212"/>
      <c r="O76" s="212"/>
      <c r="P76" s="212"/>
      <c r="Q76" s="246"/>
    </row>
    <row r="77" spans="2:17" ht="15.75">
      <c r="B77" s="227" t="s">
        <v>153</v>
      </c>
      <c r="C77" s="212"/>
      <c r="D77" s="212"/>
      <c r="E77" s="212"/>
      <c r="F77" s="212"/>
      <c r="G77" s="212"/>
      <c r="H77" s="212"/>
      <c r="I77" s="212"/>
      <c r="J77" s="212"/>
      <c r="K77" s="212"/>
      <c r="L77" s="212"/>
      <c r="M77" s="212"/>
      <c r="N77" s="212"/>
      <c r="O77" s="212"/>
      <c r="P77" s="212"/>
      <c r="Q77" s="246"/>
    </row>
    <row r="78" spans="2:17" ht="12" thickBot="1">
      <c r="B78" s="245"/>
      <c r="C78" s="212"/>
      <c r="D78" s="212"/>
      <c r="E78" s="212"/>
      <c r="F78" s="212"/>
      <c r="G78" s="212"/>
      <c r="H78" s="212"/>
      <c r="I78" s="212"/>
      <c r="J78" s="212"/>
      <c r="K78" s="212"/>
      <c r="L78" s="212"/>
      <c r="M78" s="212"/>
      <c r="N78" s="212"/>
      <c r="O78" s="212"/>
      <c r="P78" s="212"/>
      <c r="Q78" s="246"/>
    </row>
    <row r="79" spans="2:35" ht="13.5" customHeight="1" thickBot="1">
      <c r="B79" s="355"/>
      <c r="C79" s="723" t="s">
        <v>47</v>
      </c>
      <c r="D79" s="724"/>
      <c r="E79" s="322">
        <v>40634</v>
      </c>
      <c r="F79" s="322">
        <v>40664</v>
      </c>
      <c r="G79" s="322">
        <v>40695</v>
      </c>
      <c r="H79" s="322">
        <v>40725</v>
      </c>
      <c r="I79" s="322">
        <v>40756</v>
      </c>
      <c r="J79" s="322">
        <v>40787</v>
      </c>
      <c r="K79" s="322">
        <v>40817</v>
      </c>
      <c r="L79" s="322">
        <v>40848</v>
      </c>
      <c r="M79" s="322">
        <v>40878</v>
      </c>
      <c r="N79" s="322">
        <v>40909</v>
      </c>
      <c r="O79" s="322">
        <v>40940</v>
      </c>
      <c r="P79" s="322">
        <v>40969</v>
      </c>
      <c r="Q79" s="356" t="s">
        <v>45</v>
      </c>
      <c r="V79" s="212"/>
      <c r="W79" s="323"/>
      <c r="X79" s="323"/>
      <c r="Y79" s="323"/>
      <c r="Z79" s="323"/>
      <c r="AA79" s="323"/>
      <c r="AB79" s="323"/>
      <c r="AC79" s="323"/>
      <c r="AD79" s="323"/>
      <c r="AE79" s="323"/>
      <c r="AF79" s="323"/>
      <c r="AG79" s="323"/>
      <c r="AH79" s="323"/>
      <c r="AI79" s="293"/>
    </row>
    <row r="80" spans="2:35" ht="14.25">
      <c r="B80" s="720" t="s">
        <v>222</v>
      </c>
      <c r="C80" s="725" t="s">
        <v>49</v>
      </c>
      <c r="D80" s="726"/>
      <c r="E80" s="324">
        <v>3607.603484536546</v>
      </c>
      <c r="F80" s="325">
        <v>-46.35110715938116</v>
      </c>
      <c r="G80" s="325">
        <v>-109.43373159441192</v>
      </c>
      <c r="H80" s="325"/>
      <c r="I80" s="325"/>
      <c r="J80" s="325"/>
      <c r="K80" s="182"/>
      <c r="L80" s="182"/>
      <c r="M80" s="325"/>
      <c r="N80" s="325"/>
      <c r="O80" s="325"/>
      <c r="P80" s="326"/>
      <c r="Q80" s="357">
        <f>SUM(E80:P80)</f>
        <v>3451.8186457827533</v>
      </c>
      <c r="S80" s="327"/>
      <c r="V80" s="212"/>
      <c r="W80" s="328"/>
      <c r="X80" s="328"/>
      <c r="Y80" s="328"/>
      <c r="Z80" s="328"/>
      <c r="AA80" s="328"/>
      <c r="AB80" s="328"/>
      <c r="AC80" s="328"/>
      <c r="AD80" s="328"/>
      <c r="AE80" s="328"/>
      <c r="AF80" s="328"/>
      <c r="AG80" s="328"/>
      <c r="AH80" s="328"/>
      <c r="AI80" s="328"/>
    </row>
    <row r="81" spans="2:35" ht="15" thickBot="1">
      <c r="B81" s="721"/>
      <c r="C81" s="713" t="s">
        <v>48</v>
      </c>
      <c r="D81" s="714"/>
      <c r="E81" s="329">
        <v>3396.468421052631</v>
      </c>
      <c r="F81" s="182">
        <v>-134.2848373235122</v>
      </c>
      <c r="G81" s="182">
        <v>-255.78064252097423</v>
      </c>
      <c r="H81" s="182"/>
      <c r="I81" s="182"/>
      <c r="J81" s="182"/>
      <c r="K81" s="182"/>
      <c r="L81" s="182"/>
      <c r="M81" s="182"/>
      <c r="N81" s="182"/>
      <c r="O81" s="182"/>
      <c r="P81" s="330"/>
      <c r="Q81" s="357">
        <f>SUM(E81:P81)</f>
        <v>3006.402941208145</v>
      </c>
      <c r="V81" s="212"/>
      <c r="W81" s="328"/>
      <c r="X81" s="328"/>
      <c r="Y81" s="328"/>
      <c r="Z81" s="328"/>
      <c r="AA81" s="328"/>
      <c r="AB81" s="328"/>
      <c r="AC81" s="328"/>
      <c r="AD81" s="328"/>
      <c r="AE81" s="328"/>
      <c r="AF81" s="328"/>
      <c r="AG81" s="328"/>
      <c r="AH81" s="328"/>
      <c r="AI81" s="328"/>
    </row>
    <row r="82" spans="2:35" ht="15.75" thickBot="1">
      <c r="B82" s="721"/>
      <c r="C82" s="727" t="s">
        <v>116</v>
      </c>
      <c r="D82" s="728"/>
      <c r="E82" s="331">
        <f aca="true" t="shared" si="0" ref="E82:J82">SUM(E80:E81)</f>
        <v>7004.071905589177</v>
      </c>
      <c r="F82" s="332">
        <f t="shared" si="0"/>
        <v>-180.63594448289336</v>
      </c>
      <c r="G82" s="332">
        <f t="shared" si="0"/>
        <v>-365.21437411538614</v>
      </c>
      <c r="H82" s="332">
        <f t="shared" si="0"/>
        <v>0</v>
      </c>
      <c r="I82" s="332">
        <f t="shared" si="0"/>
        <v>0</v>
      </c>
      <c r="J82" s="332">
        <f t="shared" si="0"/>
        <v>0</v>
      </c>
      <c r="K82" s="332">
        <f aca="true" t="shared" si="1" ref="K82:Q82">SUM(K80:K81)</f>
        <v>0</v>
      </c>
      <c r="L82" s="332">
        <f t="shared" si="1"/>
        <v>0</v>
      </c>
      <c r="M82" s="332">
        <f t="shared" si="1"/>
        <v>0</v>
      </c>
      <c r="N82" s="332">
        <f t="shared" si="1"/>
        <v>0</v>
      </c>
      <c r="O82" s="332">
        <f t="shared" si="1"/>
        <v>0</v>
      </c>
      <c r="P82" s="332">
        <f t="shared" si="1"/>
        <v>0</v>
      </c>
      <c r="Q82" s="358">
        <f t="shared" si="1"/>
        <v>6458.221586990898</v>
      </c>
      <c r="V82" s="212"/>
      <c r="W82" s="212"/>
      <c r="X82" s="212"/>
      <c r="Y82" s="212"/>
      <c r="Z82" s="212"/>
      <c r="AA82" s="212"/>
      <c r="AB82" s="212"/>
      <c r="AC82" s="212"/>
      <c r="AD82" s="212"/>
      <c r="AE82" s="212"/>
      <c r="AF82" s="212"/>
      <c r="AG82" s="212"/>
      <c r="AH82" s="212"/>
      <c r="AI82" s="212"/>
    </row>
    <row r="83" spans="2:35" ht="15">
      <c r="B83" s="721"/>
      <c r="C83" s="725" t="s">
        <v>117</v>
      </c>
      <c r="D83" s="726"/>
      <c r="E83" s="333">
        <f>E80</f>
        <v>3607.603484536546</v>
      </c>
      <c r="F83" s="333">
        <f>E83+F80</f>
        <v>3561.252377377165</v>
      </c>
      <c r="G83" s="333">
        <f>F83+G80</f>
        <v>3451.8186457827533</v>
      </c>
      <c r="H83" s="333">
        <f aca="true" t="shared" si="2" ref="H83:J84">IF(H80="","",G83+H80)</f>
      </c>
      <c r="I83" s="333">
        <f t="shared" si="2"/>
      </c>
      <c r="J83" s="333">
        <f t="shared" si="2"/>
      </c>
      <c r="K83" s="333">
        <f aca="true" t="shared" si="3" ref="K83:P84">IF(K80="","",J83+K80)</f>
      </c>
      <c r="L83" s="333">
        <f t="shared" si="3"/>
      </c>
      <c r="M83" s="333">
        <f t="shared" si="3"/>
      </c>
      <c r="N83" s="333">
        <f t="shared" si="3"/>
      </c>
      <c r="O83" s="333">
        <f t="shared" si="3"/>
      </c>
      <c r="P83" s="333">
        <f t="shared" si="3"/>
      </c>
      <c r="Q83" s="359"/>
      <c r="S83" s="334"/>
      <c r="V83" s="212"/>
      <c r="W83" s="212"/>
      <c r="X83" s="212"/>
      <c r="Y83" s="212"/>
      <c r="Z83" s="212"/>
      <c r="AA83" s="212"/>
      <c r="AB83" s="212"/>
      <c r="AC83" s="212"/>
      <c r="AD83" s="212"/>
      <c r="AE83" s="212"/>
      <c r="AF83" s="212"/>
      <c r="AG83" s="212"/>
      <c r="AH83" s="212"/>
      <c r="AI83" s="212"/>
    </row>
    <row r="84" spans="2:35" ht="15.75" thickBot="1">
      <c r="B84" s="722"/>
      <c r="C84" s="713" t="s">
        <v>118</v>
      </c>
      <c r="D84" s="714"/>
      <c r="E84" s="310">
        <f>E81</f>
        <v>3396.468421052631</v>
      </c>
      <c r="F84" s="310">
        <f>E84+F81</f>
        <v>3262.183583729119</v>
      </c>
      <c r="G84" s="310">
        <f>F84+G81</f>
        <v>3006.402941208145</v>
      </c>
      <c r="H84" s="310">
        <f t="shared" si="2"/>
      </c>
      <c r="I84" s="310">
        <f t="shared" si="2"/>
      </c>
      <c r="J84" s="310">
        <f t="shared" si="2"/>
      </c>
      <c r="K84" s="310">
        <f t="shared" si="3"/>
      </c>
      <c r="L84" s="310">
        <f t="shared" si="3"/>
      </c>
      <c r="M84" s="310">
        <f t="shared" si="3"/>
      </c>
      <c r="N84" s="310">
        <f t="shared" si="3"/>
      </c>
      <c r="O84" s="310">
        <f t="shared" si="3"/>
      </c>
      <c r="P84" s="310">
        <f t="shared" si="3"/>
      </c>
      <c r="Q84" s="360"/>
      <c r="S84" s="334"/>
      <c r="V84" s="212"/>
      <c r="W84" s="212"/>
      <c r="X84" s="212"/>
      <c r="Y84" s="212"/>
      <c r="Z84" s="212"/>
      <c r="AA84" s="212"/>
      <c r="AB84" s="212"/>
      <c r="AC84" s="212"/>
      <c r="AD84" s="212"/>
      <c r="AE84" s="212"/>
      <c r="AF84" s="212"/>
      <c r="AG84" s="212"/>
      <c r="AH84" s="212"/>
      <c r="AI84" s="212"/>
    </row>
    <row r="85" spans="2:17" ht="14.25">
      <c r="B85" s="719" t="s">
        <v>70</v>
      </c>
      <c r="C85" s="715" t="s">
        <v>51</v>
      </c>
      <c r="D85" s="716"/>
      <c r="E85" s="324">
        <v>440</v>
      </c>
      <c r="F85" s="325">
        <v>1053</v>
      </c>
      <c r="G85" s="325">
        <v>1894</v>
      </c>
      <c r="H85" s="325"/>
      <c r="I85" s="325"/>
      <c r="J85" s="325"/>
      <c r="K85" s="325"/>
      <c r="L85" s="325"/>
      <c r="M85" s="325"/>
      <c r="N85" s="325"/>
      <c r="O85" s="325"/>
      <c r="P85" s="326"/>
      <c r="Q85" s="359">
        <f>SUM(E85:P85)</f>
        <v>3387</v>
      </c>
    </row>
    <row r="86" spans="2:17" ht="14.25">
      <c r="B86" s="717"/>
      <c r="C86" s="711" t="s">
        <v>52</v>
      </c>
      <c r="D86" s="712"/>
      <c r="E86" s="335">
        <v>13</v>
      </c>
      <c r="F86" s="289">
        <v>200</v>
      </c>
      <c r="G86" s="289">
        <v>104</v>
      </c>
      <c r="H86" s="289"/>
      <c r="I86" s="289"/>
      <c r="J86" s="289"/>
      <c r="K86" s="289"/>
      <c r="L86" s="289"/>
      <c r="M86" s="289"/>
      <c r="N86" s="289"/>
      <c r="O86" s="289"/>
      <c r="P86" s="336"/>
      <c r="Q86" s="360">
        <f>SUM(E86:P86)</f>
        <v>317</v>
      </c>
    </row>
    <row r="87" spans="2:17" ht="14.25">
      <c r="B87" s="717"/>
      <c r="C87" s="711" t="s">
        <v>53</v>
      </c>
      <c r="D87" s="712"/>
      <c r="E87" s="335">
        <v>32</v>
      </c>
      <c r="F87" s="289">
        <v>217</v>
      </c>
      <c r="G87" s="289">
        <v>126</v>
      </c>
      <c r="H87" s="289"/>
      <c r="I87" s="289"/>
      <c r="J87" s="289"/>
      <c r="K87" s="289"/>
      <c r="L87" s="289"/>
      <c r="M87" s="289"/>
      <c r="N87" s="289"/>
      <c r="O87" s="289"/>
      <c r="P87" s="336"/>
      <c r="Q87" s="360">
        <f>SUM(E87:P87)</f>
        <v>375</v>
      </c>
    </row>
    <row r="88" spans="2:17" ht="14.25">
      <c r="B88" s="717"/>
      <c r="C88" s="711" t="s">
        <v>229</v>
      </c>
      <c r="D88" s="712"/>
      <c r="E88" s="337">
        <f>AVERAGE(E85:E87)</f>
        <v>161.66666666666666</v>
      </c>
      <c r="F88" s="338">
        <f aca="true" t="shared" si="4" ref="F88:K88">IF(F85="","",AVERAGE(F85:F87))</f>
        <v>490</v>
      </c>
      <c r="G88" s="338">
        <f t="shared" si="4"/>
        <v>708</v>
      </c>
      <c r="H88" s="338">
        <f t="shared" si="4"/>
      </c>
      <c r="I88" s="338">
        <f t="shared" si="4"/>
      </c>
      <c r="J88" s="338">
        <f t="shared" si="4"/>
      </c>
      <c r="K88" s="338">
        <f t="shared" si="4"/>
      </c>
      <c r="L88" s="338">
        <f>IF(L85="","",AVERAGE(L85:L87))</f>
      </c>
      <c r="M88" s="338">
        <f>IF(M85="","",AVERAGE(M85:M87))</f>
      </c>
      <c r="N88" s="338">
        <f>IF(N85="","",AVERAGE(N85:N87))</f>
      </c>
      <c r="O88" s="338">
        <f>IF(O85="","",AVERAGE(O85:O87))</f>
      </c>
      <c r="P88" s="338">
        <f>IF(P85="","",AVERAGE(P85:P87))</f>
      </c>
      <c r="Q88" s="360"/>
    </row>
    <row r="89" spans="2:17" ht="15" thickBot="1">
      <c r="B89" s="718"/>
      <c r="C89" s="713" t="s">
        <v>167</v>
      </c>
      <c r="D89" s="714"/>
      <c r="E89" s="339">
        <v>302</v>
      </c>
      <c r="F89" s="340">
        <v>312</v>
      </c>
      <c r="G89" s="340">
        <v>302</v>
      </c>
      <c r="H89" s="340">
        <v>312</v>
      </c>
      <c r="I89" s="340">
        <v>312</v>
      </c>
      <c r="J89" s="340">
        <v>302</v>
      </c>
      <c r="K89" s="340">
        <v>312</v>
      </c>
      <c r="L89" s="340">
        <v>302</v>
      </c>
      <c r="M89" s="340">
        <v>312</v>
      </c>
      <c r="N89" s="340">
        <v>312</v>
      </c>
      <c r="O89" s="340">
        <v>282</v>
      </c>
      <c r="P89" s="341">
        <v>312</v>
      </c>
      <c r="Q89" s="361"/>
    </row>
    <row r="90" spans="2:17" ht="14.25">
      <c r="B90" s="717" t="s">
        <v>50</v>
      </c>
      <c r="C90" s="715" t="s">
        <v>54</v>
      </c>
      <c r="D90" s="716"/>
      <c r="E90" s="342">
        <v>0.751</v>
      </c>
      <c r="F90" s="343">
        <v>0.742</v>
      </c>
      <c r="G90" s="343">
        <v>0.739</v>
      </c>
      <c r="H90" s="343"/>
      <c r="I90" s="343"/>
      <c r="J90" s="343"/>
      <c r="K90" s="343"/>
      <c r="L90" s="343"/>
      <c r="M90" s="343"/>
      <c r="N90" s="343"/>
      <c r="O90" s="343"/>
      <c r="P90" s="343"/>
      <c r="Q90" s="362">
        <f>AVERAGE(E90:P90)</f>
        <v>0.7439999999999999</v>
      </c>
    </row>
    <row r="91" spans="2:17" ht="14.25">
      <c r="B91" s="717"/>
      <c r="C91" s="711" t="s">
        <v>55</v>
      </c>
      <c r="D91" s="712"/>
      <c r="E91" s="342">
        <v>0.986</v>
      </c>
      <c r="F91" s="343">
        <v>0.867</v>
      </c>
      <c r="G91" s="343">
        <v>0.844</v>
      </c>
      <c r="H91" s="343"/>
      <c r="I91" s="343"/>
      <c r="J91" s="343"/>
      <c r="K91" s="343"/>
      <c r="L91" s="343"/>
      <c r="M91" s="343"/>
      <c r="N91" s="343"/>
      <c r="O91" s="343"/>
      <c r="P91" s="343"/>
      <c r="Q91" s="362">
        <f>AVERAGE(E91:P91)</f>
        <v>0.899</v>
      </c>
    </row>
    <row r="92" spans="2:17" ht="14.25">
      <c r="B92" s="717"/>
      <c r="C92" s="711" t="s">
        <v>56</v>
      </c>
      <c r="D92" s="712"/>
      <c r="E92" s="342">
        <v>0.993</v>
      </c>
      <c r="F92" s="343">
        <v>0.98</v>
      </c>
      <c r="G92" s="343">
        <v>0.979</v>
      </c>
      <c r="H92" s="343"/>
      <c r="I92" s="343"/>
      <c r="J92" s="343"/>
      <c r="K92" s="343"/>
      <c r="L92" s="343"/>
      <c r="M92" s="343"/>
      <c r="N92" s="343"/>
      <c r="O92" s="343"/>
      <c r="P92" s="343"/>
      <c r="Q92" s="362">
        <f>AVERAGE(E92:P92)</f>
        <v>0.984</v>
      </c>
    </row>
    <row r="93" spans="2:17" ht="14.25">
      <c r="B93" s="717"/>
      <c r="C93" s="711" t="s">
        <v>57</v>
      </c>
      <c r="D93" s="712"/>
      <c r="E93" s="342">
        <v>0.989</v>
      </c>
      <c r="F93" s="343">
        <v>0.989</v>
      </c>
      <c r="G93" s="343">
        <v>0.978</v>
      </c>
      <c r="H93" s="343"/>
      <c r="I93" s="343"/>
      <c r="J93" s="343"/>
      <c r="K93" s="343"/>
      <c r="L93" s="343"/>
      <c r="M93" s="343"/>
      <c r="N93" s="343"/>
      <c r="O93" s="343"/>
      <c r="P93" s="343"/>
      <c r="Q93" s="362">
        <f>AVERAGE(E93:P93)</f>
        <v>0.9853333333333333</v>
      </c>
    </row>
    <row r="94" spans="2:17" ht="14.25">
      <c r="B94" s="717"/>
      <c r="C94" s="711" t="s">
        <v>166</v>
      </c>
      <c r="D94" s="712"/>
      <c r="E94" s="344">
        <f>AVERAGE(E90:E93)</f>
        <v>0.92975</v>
      </c>
      <c r="F94" s="345">
        <f aca="true" t="shared" si="5" ref="F94:K94">IF(F90="","",AVERAGE(F90:F93))</f>
        <v>0.8945</v>
      </c>
      <c r="G94" s="345">
        <f t="shared" si="5"/>
        <v>0.885</v>
      </c>
      <c r="H94" s="345">
        <f t="shared" si="5"/>
      </c>
      <c r="I94" s="345">
        <f t="shared" si="5"/>
      </c>
      <c r="J94" s="345">
        <f t="shared" si="5"/>
      </c>
      <c r="K94" s="345">
        <f t="shared" si="5"/>
      </c>
      <c r="L94" s="345">
        <f>IF(L90="","",AVERAGE(L90:L93))</f>
      </c>
      <c r="M94" s="345">
        <f>IF(M90="","",AVERAGE(M90:M93))</f>
      </c>
      <c r="N94" s="345">
        <f>IF(N90="","",AVERAGE(N90:N93))</f>
      </c>
      <c r="O94" s="345">
        <f>IF(O90="","",AVERAGE(O90:O93))</f>
      </c>
      <c r="P94" s="345">
        <f>IF(P90="","",AVERAGE(P90:P93))</f>
      </c>
      <c r="Q94" s="363"/>
    </row>
    <row r="95" spans="2:17" ht="15" thickBot="1">
      <c r="B95" s="718"/>
      <c r="C95" s="713" t="s">
        <v>170</v>
      </c>
      <c r="D95" s="714"/>
      <c r="E95" s="346">
        <v>0.905</v>
      </c>
      <c r="F95" s="347">
        <v>0.905</v>
      </c>
      <c r="G95" s="347">
        <v>0.905</v>
      </c>
      <c r="H95" s="347">
        <v>0.905</v>
      </c>
      <c r="I95" s="347">
        <v>0.905</v>
      </c>
      <c r="J95" s="347">
        <v>0.905</v>
      </c>
      <c r="K95" s="347">
        <v>0.905</v>
      </c>
      <c r="L95" s="347">
        <v>0.905</v>
      </c>
      <c r="M95" s="347">
        <v>0.905</v>
      </c>
      <c r="N95" s="347">
        <v>0.905</v>
      </c>
      <c r="O95" s="347">
        <v>0.905</v>
      </c>
      <c r="P95" s="347">
        <v>0.905</v>
      </c>
      <c r="Q95" s="364"/>
    </row>
    <row r="96" spans="2:17" ht="11.25" customHeight="1">
      <c r="B96" s="365"/>
      <c r="C96" s="279"/>
      <c r="D96" s="279"/>
      <c r="E96" s="348"/>
      <c r="F96" s="348"/>
      <c r="G96" s="348"/>
      <c r="H96" s="348"/>
      <c r="I96" s="348"/>
      <c r="J96" s="348"/>
      <c r="K96" s="348"/>
      <c r="L96" s="348"/>
      <c r="M96" s="348"/>
      <c r="N96" s="349"/>
      <c r="O96" s="349"/>
      <c r="P96" s="349"/>
      <c r="Q96" s="366"/>
    </row>
    <row r="97" spans="2:17" ht="11.25" customHeight="1">
      <c r="B97" s="365"/>
      <c r="C97" s="212"/>
      <c r="D97" s="212"/>
      <c r="E97" s="323"/>
      <c r="F97" s="323"/>
      <c r="G97" s="323"/>
      <c r="H97" s="323"/>
      <c r="I97" s="294"/>
      <c r="J97" s="294"/>
      <c r="K97" s="350"/>
      <c r="L97" s="350"/>
      <c r="M97" s="350"/>
      <c r="N97" s="350"/>
      <c r="O97" s="323"/>
      <c r="P97" s="323"/>
      <c r="Q97" s="367"/>
    </row>
    <row r="98" spans="2:17" ht="11.25">
      <c r="B98" s="245"/>
      <c r="C98" s="212"/>
      <c r="D98" s="212"/>
      <c r="E98" s="212"/>
      <c r="F98" s="212"/>
      <c r="G98" s="212"/>
      <c r="H98" s="212"/>
      <c r="I98" s="212"/>
      <c r="J98" s="212"/>
      <c r="K98" s="212"/>
      <c r="L98" s="212"/>
      <c r="M98" s="212"/>
      <c r="N98" s="212"/>
      <c r="O98" s="212"/>
      <c r="P98" s="212"/>
      <c r="Q98" s="246"/>
    </row>
    <row r="99" spans="2:17" ht="11.25">
      <c r="B99" s="245"/>
      <c r="C99" s="212"/>
      <c r="D99" s="212"/>
      <c r="E99" s="212"/>
      <c r="F99" s="212"/>
      <c r="G99" s="212"/>
      <c r="H99" s="212"/>
      <c r="I99" s="212"/>
      <c r="J99" s="212"/>
      <c r="K99" s="212"/>
      <c r="L99" s="212"/>
      <c r="M99" s="212"/>
      <c r="N99" s="212"/>
      <c r="O99" s="212"/>
      <c r="P99" s="212"/>
      <c r="Q99" s="246"/>
    </row>
    <row r="100" spans="2:17" ht="11.25">
      <c r="B100" s="245"/>
      <c r="C100" s="212"/>
      <c r="D100" s="212"/>
      <c r="E100" s="212"/>
      <c r="F100" s="212"/>
      <c r="G100" s="212"/>
      <c r="H100" s="212"/>
      <c r="I100" s="212"/>
      <c r="J100" s="212"/>
      <c r="K100" s="212"/>
      <c r="L100" s="212"/>
      <c r="M100" s="212"/>
      <c r="N100" s="212"/>
      <c r="O100" s="212"/>
      <c r="P100" s="212"/>
      <c r="Q100" s="246"/>
    </row>
    <row r="101" spans="2:17" ht="11.25">
      <c r="B101" s="245"/>
      <c r="C101" s="212"/>
      <c r="D101" s="212"/>
      <c r="E101" s="212"/>
      <c r="F101" s="212"/>
      <c r="G101" s="212"/>
      <c r="H101" s="212"/>
      <c r="I101" s="212"/>
      <c r="J101" s="212"/>
      <c r="K101" s="212"/>
      <c r="L101" s="212"/>
      <c r="M101" s="212"/>
      <c r="N101" s="212"/>
      <c r="O101" s="212"/>
      <c r="P101" s="212"/>
      <c r="Q101" s="246"/>
    </row>
    <row r="102" spans="2:17" ht="11.25">
      <c r="B102" s="245"/>
      <c r="C102" s="212"/>
      <c r="D102" s="212"/>
      <c r="E102" s="212"/>
      <c r="F102" s="212"/>
      <c r="G102" s="212"/>
      <c r="H102" s="212"/>
      <c r="I102" s="212"/>
      <c r="J102" s="212"/>
      <c r="K102" s="212"/>
      <c r="L102" s="212"/>
      <c r="M102" s="212"/>
      <c r="N102" s="212"/>
      <c r="O102" s="212"/>
      <c r="P102" s="212"/>
      <c r="Q102" s="246"/>
    </row>
    <row r="103" spans="2:17" ht="11.25">
      <c r="B103" s="245"/>
      <c r="C103" s="212"/>
      <c r="D103" s="212"/>
      <c r="E103" s="212"/>
      <c r="F103" s="212"/>
      <c r="G103" s="212"/>
      <c r="H103" s="212"/>
      <c r="I103" s="212"/>
      <c r="J103" s="212"/>
      <c r="K103" s="212"/>
      <c r="L103" s="212"/>
      <c r="M103" s="212"/>
      <c r="N103" s="212"/>
      <c r="O103" s="212"/>
      <c r="P103" s="212"/>
      <c r="Q103" s="246"/>
    </row>
    <row r="104" spans="2:17" ht="11.25">
      <c r="B104" s="245"/>
      <c r="C104" s="212"/>
      <c r="D104" s="212"/>
      <c r="E104" s="212"/>
      <c r="F104" s="212"/>
      <c r="G104" s="212"/>
      <c r="H104" s="212"/>
      <c r="I104" s="212"/>
      <c r="J104" s="212"/>
      <c r="K104" s="212"/>
      <c r="L104" s="212"/>
      <c r="M104" s="212"/>
      <c r="N104" s="212"/>
      <c r="O104" s="212"/>
      <c r="P104" s="212"/>
      <c r="Q104" s="246"/>
    </row>
    <row r="105" spans="2:17" ht="11.25">
      <c r="B105" s="245"/>
      <c r="C105" s="212"/>
      <c r="D105" s="212"/>
      <c r="E105" s="212"/>
      <c r="F105" s="212"/>
      <c r="G105" s="212"/>
      <c r="H105" s="212"/>
      <c r="I105" s="212"/>
      <c r="J105" s="212"/>
      <c r="K105" s="212"/>
      <c r="L105" s="212"/>
      <c r="M105" s="212"/>
      <c r="N105" s="212"/>
      <c r="O105" s="212"/>
      <c r="P105" s="212"/>
      <c r="Q105" s="246"/>
    </row>
    <row r="106" spans="2:17" ht="11.25">
      <c r="B106" s="245"/>
      <c r="C106" s="212"/>
      <c r="D106" s="212"/>
      <c r="E106" s="212"/>
      <c r="F106" s="212"/>
      <c r="G106" s="212"/>
      <c r="H106" s="212"/>
      <c r="I106" s="212"/>
      <c r="J106" s="212"/>
      <c r="K106" s="212"/>
      <c r="L106" s="212"/>
      <c r="M106" s="212"/>
      <c r="N106" s="212"/>
      <c r="O106" s="212"/>
      <c r="P106" s="212"/>
      <c r="Q106" s="246"/>
    </row>
    <row r="107" spans="2:17" ht="11.25">
      <c r="B107" s="245"/>
      <c r="C107" s="212"/>
      <c r="D107" s="212"/>
      <c r="E107" s="212"/>
      <c r="F107" s="212"/>
      <c r="G107" s="212"/>
      <c r="H107" s="212"/>
      <c r="I107" s="212"/>
      <c r="J107" s="212"/>
      <c r="K107" s="212"/>
      <c r="L107" s="212"/>
      <c r="M107" s="212"/>
      <c r="N107" s="212"/>
      <c r="O107" s="212"/>
      <c r="P107" s="212"/>
      <c r="Q107" s="246"/>
    </row>
    <row r="108" spans="2:17" ht="11.25">
      <c r="B108" s="245"/>
      <c r="C108" s="212"/>
      <c r="D108" s="212"/>
      <c r="E108" s="212"/>
      <c r="F108" s="212"/>
      <c r="G108" s="212"/>
      <c r="H108" s="212"/>
      <c r="I108" s="212"/>
      <c r="J108" s="212"/>
      <c r="K108" s="212"/>
      <c r="L108" s="212"/>
      <c r="M108" s="212"/>
      <c r="N108" s="212"/>
      <c r="O108" s="212"/>
      <c r="P108" s="212"/>
      <c r="Q108" s="246"/>
    </row>
    <row r="109" spans="2:17" ht="11.25">
      <c r="B109" s="245"/>
      <c r="C109" s="212"/>
      <c r="D109" s="212"/>
      <c r="E109" s="212"/>
      <c r="F109" s="212"/>
      <c r="G109" s="212"/>
      <c r="H109" s="212"/>
      <c r="I109" s="212"/>
      <c r="J109" s="212"/>
      <c r="K109" s="212"/>
      <c r="L109" s="212"/>
      <c r="M109" s="212"/>
      <c r="N109" s="212"/>
      <c r="O109" s="212"/>
      <c r="P109" s="212"/>
      <c r="Q109" s="246"/>
    </row>
    <row r="110" spans="2:17" ht="11.25">
      <c r="B110" s="245"/>
      <c r="C110" s="212"/>
      <c r="D110" s="212"/>
      <c r="E110" s="212"/>
      <c r="F110" s="212"/>
      <c r="G110" s="212"/>
      <c r="H110" s="212"/>
      <c r="I110" s="212"/>
      <c r="J110" s="212"/>
      <c r="K110" s="212"/>
      <c r="L110" s="212"/>
      <c r="M110" s="212"/>
      <c r="N110" s="212"/>
      <c r="O110" s="212"/>
      <c r="P110" s="212"/>
      <c r="Q110" s="246"/>
    </row>
    <row r="111" spans="2:17" ht="11.25">
      <c r="B111" s="245"/>
      <c r="C111" s="212"/>
      <c r="D111" s="212"/>
      <c r="E111" s="212"/>
      <c r="F111" s="212"/>
      <c r="G111" s="212"/>
      <c r="H111" s="212"/>
      <c r="I111" s="212"/>
      <c r="J111" s="212"/>
      <c r="K111" s="212"/>
      <c r="L111" s="212"/>
      <c r="M111" s="212"/>
      <c r="N111" s="212"/>
      <c r="O111" s="212"/>
      <c r="P111" s="212"/>
      <c r="Q111" s="246"/>
    </row>
    <row r="112" spans="2:17" ht="11.25">
      <c r="B112" s="245"/>
      <c r="C112" s="212"/>
      <c r="D112" s="212"/>
      <c r="E112" s="212"/>
      <c r="F112" s="212"/>
      <c r="G112" s="212"/>
      <c r="H112" s="212"/>
      <c r="I112" s="212"/>
      <c r="J112" s="212"/>
      <c r="K112" s="212"/>
      <c r="L112" s="212"/>
      <c r="M112" s="212"/>
      <c r="N112" s="212"/>
      <c r="O112" s="212"/>
      <c r="P112" s="212"/>
      <c r="Q112" s="246"/>
    </row>
    <row r="113" spans="2:17" ht="11.25">
      <c r="B113" s="245"/>
      <c r="C113" s="212"/>
      <c r="D113" s="212"/>
      <c r="E113" s="212"/>
      <c r="F113" s="212"/>
      <c r="G113" s="212"/>
      <c r="H113" s="212"/>
      <c r="I113" s="212"/>
      <c r="J113" s="212"/>
      <c r="K113" s="212"/>
      <c r="L113" s="212"/>
      <c r="M113" s="212"/>
      <c r="N113" s="212"/>
      <c r="O113" s="212"/>
      <c r="P113" s="212"/>
      <c r="Q113" s="246"/>
    </row>
    <row r="114" spans="2:17" ht="11.25">
      <c r="B114" s="245"/>
      <c r="C114" s="212"/>
      <c r="D114" s="212"/>
      <c r="E114" s="212"/>
      <c r="F114" s="212"/>
      <c r="G114" s="212"/>
      <c r="H114" s="212"/>
      <c r="I114" s="212"/>
      <c r="J114" s="212"/>
      <c r="K114" s="212"/>
      <c r="L114" s="212"/>
      <c r="M114" s="212"/>
      <c r="N114" s="212"/>
      <c r="O114" s="212"/>
      <c r="P114" s="212"/>
      <c r="Q114" s="246"/>
    </row>
    <row r="115" spans="2:17" ht="11.25">
      <c r="B115" s="245"/>
      <c r="C115" s="212"/>
      <c r="D115" s="212"/>
      <c r="E115" s="212"/>
      <c r="F115" s="212"/>
      <c r="G115" s="212"/>
      <c r="H115" s="212"/>
      <c r="I115" s="212"/>
      <c r="J115" s="212"/>
      <c r="K115" s="212"/>
      <c r="L115" s="212"/>
      <c r="M115" s="212"/>
      <c r="N115" s="212"/>
      <c r="O115" s="212"/>
      <c r="P115" s="212"/>
      <c r="Q115" s="246"/>
    </row>
    <row r="116" spans="2:17" ht="11.25">
      <c r="B116" s="245"/>
      <c r="C116" s="212"/>
      <c r="D116" s="212"/>
      <c r="E116" s="212"/>
      <c r="F116" s="212"/>
      <c r="G116" s="212"/>
      <c r="H116" s="212"/>
      <c r="I116" s="212"/>
      <c r="J116" s="212"/>
      <c r="K116" s="212"/>
      <c r="L116" s="212"/>
      <c r="M116" s="212"/>
      <c r="N116" s="212"/>
      <c r="O116" s="212"/>
      <c r="P116" s="212"/>
      <c r="Q116" s="246"/>
    </row>
    <row r="117" spans="2:17" ht="11.25">
      <c r="B117" s="245"/>
      <c r="C117" s="212"/>
      <c r="D117" s="212"/>
      <c r="E117" s="212"/>
      <c r="F117" s="212"/>
      <c r="G117" s="212"/>
      <c r="H117" s="212"/>
      <c r="I117" s="212"/>
      <c r="J117" s="212"/>
      <c r="K117" s="212"/>
      <c r="L117" s="212"/>
      <c r="M117" s="212"/>
      <c r="N117" s="212"/>
      <c r="O117" s="212"/>
      <c r="P117" s="212"/>
      <c r="Q117" s="246"/>
    </row>
    <row r="118" spans="2:17" ht="11.25">
      <c r="B118" s="245"/>
      <c r="C118" s="212"/>
      <c r="D118" s="212"/>
      <c r="E118" s="212"/>
      <c r="F118" s="212"/>
      <c r="G118" s="212"/>
      <c r="H118" s="212"/>
      <c r="I118" s="212"/>
      <c r="J118" s="212"/>
      <c r="K118" s="212"/>
      <c r="L118" s="212"/>
      <c r="M118" s="212"/>
      <c r="N118" s="212"/>
      <c r="O118" s="212"/>
      <c r="P118" s="212"/>
      <c r="Q118" s="246"/>
    </row>
    <row r="119" spans="2:17" ht="11.25">
      <c r="B119" s="245"/>
      <c r="C119" s="212"/>
      <c r="D119" s="212"/>
      <c r="E119" s="212"/>
      <c r="F119" s="212"/>
      <c r="G119" s="212"/>
      <c r="H119" s="212"/>
      <c r="I119" s="212"/>
      <c r="J119" s="212"/>
      <c r="K119" s="212"/>
      <c r="L119" s="212"/>
      <c r="M119" s="212"/>
      <c r="N119" s="212"/>
      <c r="O119" s="212"/>
      <c r="P119" s="212"/>
      <c r="Q119" s="246"/>
    </row>
    <row r="120" spans="2:17" ht="11.25">
      <c r="B120" s="245"/>
      <c r="C120" s="212"/>
      <c r="D120" s="212"/>
      <c r="E120" s="212"/>
      <c r="F120" s="212"/>
      <c r="G120" s="212"/>
      <c r="H120" s="212"/>
      <c r="I120" s="212"/>
      <c r="J120" s="212"/>
      <c r="K120" s="212"/>
      <c r="L120" s="212"/>
      <c r="M120" s="212"/>
      <c r="N120" s="212"/>
      <c r="O120" s="212"/>
      <c r="P120" s="212"/>
      <c r="Q120" s="246"/>
    </row>
    <row r="121" spans="2:17" ht="11.25">
      <c r="B121" s="245"/>
      <c r="C121" s="212"/>
      <c r="D121" s="212"/>
      <c r="E121" s="212"/>
      <c r="F121" s="212"/>
      <c r="G121" s="212"/>
      <c r="H121" s="212"/>
      <c r="I121" s="212"/>
      <c r="J121" s="212"/>
      <c r="K121" s="212"/>
      <c r="L121" s="212"/>
      <c r="M121" s="212"/>
      <c r="N121" s="212"/>
      <c r="O121" s="212"/>
      <c r="P121" s="212"/>
      <c r="Q121" s="246"/>
    </row>
    <row r="122" spans="2:17" ht="11.25">
      <c r="B122" s="245"/>
      <c r="C122" s="212"/>
      <c r="D122" s="212"/>
      <c r="E122" s="212"/>
      <c r="F122" s="212"/>
      <c r="G122" s="212"/>
      <c r="H122" s="212"/>
      <c r="I122" s="212"/>
      <c r="J122" s="212"/>
      <c r="K122" s="212"/>
      <c r="L122" s="212"/>
      <c r="M122" s="212"/>
      <c r="N122" s="212"/>
      <c r="O122" s="212"/>
      <c r="P122" s="212"/>
      <c r="Q122" s="246"/>
    </row>
    <row r="123" spans="2:17" ht="11.25">
      <c r="B123" s="245"/>
      <c r="C123" s="212"/>
      <c r="D123" s="212"/>
      <c r="E123" s="212"/>
      <c r="F123" s="212"/>
      <c r="G123" s="212"/>
      <c r="H123" s="212"/>
      <c r="I123" s="212"/>
      <c r="J123" s="212"/>
      <c r="K123" s="212"/>
      <c r="L123" s="212"/>
      <c r="M123" s="212"/>
      <c r="N123" s="212"/>
      <c r="O123" s="212"/>
      <c r="P123" s="212"/>
      <c r="Q123" s="246"/>
    </row>
    <row r="124" spans="2:17" ht="11.25">
      <c r="B124" s="245"/>
      <c r="C124" s="212"/>
      <c r="D124" s="212"/>
      <c r="E124" s="212"/>
      <c r="F124" s="212"/>
      <c r="G124" s="212"/>
      <c r="H124" s="212"/>
      <c r="I124" s="212"/>
      <c r="J124" s="212"/>
      <c r="K124" s="212"/>
      <c r="L124" s="212"/>
      <c r="M124" s="212"/>
      <c r="N124" s="212"/>
      <c r="O124" s="212"/>
      <c r="P124" s="212"/>
      <c r="Q124" s="246"/>
    </row>
    <row r="125" spans="2:17" ht="11.25">
      <c r="B125" s="245"/>
      <c r="C125" s="212"/>
      <c r="D125" s="212"/>
      <c r="E125" s="212"/>
      <c r="F125" s="212"/>
      <c r="G125" s="212"/>
      <c r="H125" s="212"/>
      <c r="I125" s="212"/>
      <c r="J125" s="212"/>
      <c r="K125" s="212"/>
      <c r="L125" s="212"/>
      <c r="M125" s="212"/>
      <c r="N125" s="212"/>
      <c r="O125" s="212"/>
      <c r="P125" s="212"/>
      <c r="Q125" s="246"/>
    </row>
    <row r="126" spans="2:17" ht="11.25">
      <c r="B126" s="245"/>
      <c r="C126" s="212"/>
      <c r="D126" s="212"/>
      <c r="E126" s="212"/>
      <c r="F126" s="212"/>
      <c r="G126" s="212"/>
      <c r="H126" s="212"/>
      <c r="I126" s="212"/>
      <c r="J126" s="212"/>
      <c r="K126" s="212"/>
      <c r="L126" s="212"/>
      <c r="M126" s="212"/>
      <c r="N126" s="212"/>
      <c r="O126" s="212"/>
      <c r="P126" s="212"/>
      <c r="Q126" s="246"/>
    </row>
    <row r="127" spans="2:17" ht="11.25">
      <c r="B127" s="245"/>
      <c r="C127" s="212"/>
      <c r="D127" s="212"/>
      <c r="E127" s="212"/>
      <c r="F127" s="212"/>
      <c r="G127" s="212"/>
      <c r="H127" s="212"/>
      <c r="I127" s="212"/>
      <c r="J127" s="212"/>
      <c r="K127" s="212"/>
      <c r="L127" s="212"/>
      <c r="M127" s="212"/>
      <c r="N127" s="212"/>
      <c r="O127" s="212"/>
      <c r="P127" s="212"/>
      <c r="Q127" s="246"/>
    </row>
    <row r="128" spans="2:17" ht="11.25">
      <c r="B128" s="245"/>
      <c r="C128" s="212"/>
      <c r="D128" s="212"/>
      <c r="E128" s="212"/>
      <c r="F128" s="212"/>
      <c r="G128" s="212"/>
      <c r="H128" s="212"/>
      <c r="I128" s="212"/>
      <c r="J128" s="212"/>
      <c r="K128" s="212"/>
      <c r="L128" s="212"/>
      <c r="M128" s="212"/>
      <c r="N128" s="212"/>
      <c r="O128" s="212"/>
      <c r="P128" s="212"/>
      <c r="Q128" s="246"/>
    </row>
    <row r="129" spans="2:17" ht="11.25">
      <c r="B129" s="245"/>
      <c r="C129" s="212"/>
      <c r="D129" s="212"/>
      <c r="E129" s="212"/>
      <c r="F129" s="212"/>
      <c r="G129" s="212"/>
      <c r="H129" s="212"/>
      <c r="I129" s="212"/>
      <c r="J129" s="212"/>
      <c r="K129" s="212"/>
      <c r="L129" s="212"/>
      <c r="M129" s="212"/>
      <c r="N129" s="212"/>
      <c r="O129" s="212"/>
      <c r="P129" s="212"/>
      <c r="Q129" s="246"/>
    </row>
    <row r="130" spans="2:17" ht="11.25">
      <c r="B130" s="245"/>
      <c r="C130" s="212"/>
      <c r="D130" s="212"/>
      <c r="E130" s="212"/>
      <c r="F130" s="212"/>
      <c r="G130" s="212"/>
      <c r="H130" s="212"/>
      <c r="I130" s="212"/>
      <c r="J130" s="212"/>
      <c r="K130" s="212"/>
      <c r="L130" s="212"/>
      <c r="M130" s="212"/>
      <c r="N130" s="212"/>
      <c r="O130" s="212"/>
      <c r="P130" s="212"/>
      <c r="Q130" s="246"/>
    </row>
    <row r="131" spans="2:17" ht="11.25">
      <c r="B131" s="245"/>
      <c r="C131" s="212"/>
      <c r="D131" s="212"/>
      <c r="E131" s="212"/>
      <c r="F131" s="212"/>
      <c r="G131" s="212"/>
      <c r="H131" s="212"/>
      <c r="I131" s="212"/>
      <c r="J131" s="212"/>
      <c r="K131" s="212"/>
      <c r="L131" s="212"/>
      <c r="M131" s="212"/>
      <c r="N131" s="212"/>
      <c r="O131" s="212"/>
      <c r="P131" s="212"/>
      <c r="Q131" s="246"/>
    </row>
    <row r="132" spans="2:17" ht="11.25">
      <c r="B132" s="245"/>
      <c r="C132" s="212"/>
      <c r="D132" s="212"/>
      <c r="E132" s="212"/>
      <c r="F132" s="212"/>
      <c r="G132" s="212"/>
      <c r="H132" s="212"/>
      <c r="I132" s="212"/>
      <c r="J132" s="212"/>
      <c r="K132" s="212"/>
      <c r="L132" s="212"/>
      <c r="M132" s="212"/>
      <c r="N132" s="212"/>
      <c r="O132" s="212"/>
      <c r="P132" s="212"/>
      <c r="Q132" s="246"/>
    </row>
    <row r="133" spans="2:17" ht="11.25">
      <c r="B133" s="245"/>
      <c r="C133" s="212"/>
      <c r="D133" s="212"/>
      <c r="E133" s="212"/>
      <c r="F133" s="212"/>
      <c r="G133" s="212"/>
      <c r="H133" s="212"/>
      <c r="I133" s="212"/>
      <c r="J133" s="212"/>
      <c r="K133" s="212"/>
      <c r="L133" s="212"/>
      <c r="M133" s="212"/>
      <c r="N133" s="212"/>
      <c r="O133" s="212"/>
      <c r="P133" s="212"/>
      <c r="Q133" s="246"/>
    </row>
    <row r="134" spans="2:17" ht="11.25">
      <c r="B134" s="245"/>
      <c r="C134" s="212"/>
      <c r="D134" s="212"/>
      <c r="E134" s="212"/>
      <c r="F134" s="212"/>
      <c r="G134" s="212"/>
      <c r="H134" s="212"/>
      <c r="I134" s="212"/>
      <c r="J134" s="212"/>
      <c r="K134" s="212"/>
      <c r="L134" s="212"/>
      <c r="M134" s="212"/>
      <c r="N134" s="212"/>
      <c r="O134" s="212"/>
      <c r="P134" s="212"/>
      <c r="Q134" s="246"/>
    </row>
    <row r="135" spans="2:17" ht="11.25">
      <c r="B135" s="245"/>
      <c r="C135" s="212"/>
      <c r="D135" s="212"/>
      <c r="E135" s="212"/>
      <c r="F135" s="212"/>
      <c r="G135" s="212"/>
      <c r="H135" s="212"/>
      <c r="I135" s="212"/>
      <c r="J135" s="212"/>
      <c r="K135" s="212"/>
      <c r="L135" s="212"/>
      <c r="M135" s="212"/>
      <c r="N135" s="212"/>
      <c r="O135" s="212"/>
      <c r="P135" s="212"/>
      <c r="Q135" s="246"/>
    </row>
    <row r="136" spans="2:17" ht="11.25">
      <c r="B136" s="245"/>
      <c r="C136" s="212"/>
      <c r="D136" s="212"/>
      <c r="E136" s="212"/>
      <c r="F136" s="212"/>
      <c r="G136" s="212"/>
      <c r="H136" s="212"/>
      <c r="I136" s="212"/>
      <c r="J136" s="212"/>
      <c r="K136" s="212"/>
      <c r="L136" s="212"/>
      <c r="M136" s="212"/>
      <c r="N136" s="212"/>
      <c r="O136" s="212"/>
      <c r="P136" s="212"/>
      <c r="Q136" s="246"/>
    </row>
    <row r="137" spans="2:17" ht="11.25">
      <c r="B137" s="245"/>
      <c r="C137" s="212"/>
      <c r="D137" s="212"/>
      <c r="E137" s="212"/>
      <c r="F137" s="212"/>
      <c r="G137" s="212"/>
      <c r="H137" s="212"/>
      <c r="I137" s="212"/>
      <c r="J137" s="212"/>
      <c r="K137" s="212"/>
      <c r="L137" s="212"/>
      <c r="M137" s="212"/>
      <c r="N137" s="212"/>
      <c r="O137" s="212"/>
      <c r="P137" s="212"/>
      <c r="Q137" s="246"/>
    </row>
    <row r="138" spans="2:17" ht="11.25">
      <c r="B138" s="245"/>
      <c r="C138" s="212"/>
      <c r="D138" s="212"/>
      <c r="E138" s="212"/>
      <c r="F138" s="212"/>
      <c r="G138" s="212"/>
      <c r="H138" s="212"/>
      <c r="I138" s="212"/>
      <c r="J138" s="212"/>
      <c r="K138" s="212"/>
      <c r="L138" s="212"/>
      <c r="M138" s="212"/>
      <c r="N138" s="212"/>
      <c r="O138" s="212"/>
      <c r="P138" s="212"/>
      <c r="Q138" s="246"/>
    </row>
    <row r="139" spans="2:17" ht="11.25">
      <c r="B139" s="245"/>
      <c r="C139" s="212"/>
      <c r="D139" s="212"/>
      <c r="E139" s="212"/>
      <c r="F139" s="212"/>
      <c r="G139" s="212"/>
      <c r="H139" s="212"/>
      <c r="I139" s="212"/>
      <c r="J139" s="212"/>
      <c r="K139" s="212"/>
      <c r="L139" s="212"/>
      <c r="M139" s="212"/>
      <c r="N139" s="212"/>
      <c r="O139" s="212"/>
      <c r="P139" s="212"/>
      <c r="Q139" s="246"/>
    </row>
    <row r="140" spans="2:17" ht="11.25">
      <c r="B140" s="245"/>
      <c r="C140" s="212"/>
      <c r="D140" s="212"/>
      <c r="E140" s="212"/>
      <c r="F140" s="212"/>
      <c r="G140" s="212"/>
      <c r="H140" s="212"/>
      <c r="I140" s="212"/>
      <c r="J140" s="212"/>
      <c r="K140" s="212"/>
      <c r="L140" s="212"/>
      <c r="M140" s="212"/>
      <c r="N140" s="212"/>
      <c r="O140" s="212"/>
      <c r="P140" s="212"/>
      <c r="Q140" s="246"/>
    </row>
    <row r="141" spans="2:17" ht="11.25">
      <c r="B141" s="245"/>
      <c r="C141" s="212"/>
      <c r="D141" s="212"/>
      <c r="E141" s="212"/>
      <c r="F141" s="212"/>
      <c r="G141" s="212"/>
      <c r="H141" s="212"/>
      <c r="I141" s="212"/>
      <c r="J141" s="212"/>
      <c r="K141" s="212"/>
      <c r="L141" s="212"/>
      <c r="M141" s="212"/>
      <c r="N141" s="212"/>
      <c r="O141" s="212"/>
      <c r="P141" s="212"/>
      <c r="Q141" s="246"/>
    </row>
    <row r="142" spans="2:17" ht="11.25">
      <c r="B142" s="245"/>
      <c r="C142" s="212"/>
      <c r="D142" s="212"/>
      <c r="E142" s="212"/>
      <c r="F142" s="212"/>
      <c r="G142" s="212"/>
      <c r="H142" s="212"/>
      <c r="I142" s="212"/>
      <c r="J142" s="212"/>
      <c r="K142" s="212"/>
      <c r="L142" s="212"/>
      <c r="M142" s="212"/>
      <c r="N142" s="212"/>
      <c r="O142" s="212"/>
      <c r="P142" s="212"/>
      <c r="Q142" s="246"/>
    </row>
    <row r="143" spans="2:17" ht="11.25">
      <c r="B143" s="245"/>
      <c r="C143" s="212"/>
      <c r="D143" s="212"/>
      <c r="E143" s="212"/>
      <c r="F143" s="212"/>
      <c r="G143" s="212"/>
      <c r="H143" s="212"/>
      <c r="I143" s="212"/>
      <c r="J143" s="212"/>
      <c r="K143" s="212"/>
      <c r="L143" s="212"/>
      <c r="M143" s="212"/>
      <c r="N143" s="212"/>
      <c r="O143" s="212"/>
      <c r="P143" s="212"/>
      <c r="Q143" s="246"/>
    </row>
    <row r="144" spans="2:17" ht="11.25">
      <c r="B144" s="245"/>
      <c r="C144" s="212"/>
      <c r="D144" s="212"/>
      <c r="E144" s="212"/>
      <c r="F144" s="212"/>
      <c r="G144" s="212"/>
      <c r="H144" s="212"/>
      <c r="I144" s="212"/>
      <c r="J144" s="212"/>
      <c r="K144" s="212"/>
      <c r="L144" s="212"/>
      <c r="M144" s="212"/>
      <c r="N144" s="212"/>
      <c r="O144" s="212"/>
      <c r="P144" s="212"/>
      <c r="Q144" s="246"/>
    </row>
    <row r="145" spans="2:17" ht="11.25">
      <c r="B145" s="245"/>
      <c r="C145" s="212"/>
      <c r="D145" s="212"/>
      <c r="E145" s="212"/>
      <c r="F145" s="212"/>
      <c r="G145" s="212"/>
      <c r="H145" s="212"/>
      <c r="I145" s="212"/>
      <c r="J145" s="212"/>
      <c r="K145" s="212"/>
      <c r="L145" s="212"/>
      <c r="M145" s="212"/>
      <c r="N145" s="212"/>
      <c r="O145" s="212"/>
      <c r="P145" s="212"/>
      <c r="Q145" s="246"/>
    </row>
    <row r="146" spans="2:17" ht="11.25">
      <c r="B146" s="245"/>
      <c r="C146" s="212"/>
      <c r="D146" s="212"/>
      <c r="E146" s="212"/>
      <c r="F146" s="212"/>
      <c r="G146" s="212"/>
      <c r="H146" s="212"/>
      <c r="I146" s="212"/>
      <c r="J146" s="212"/>
      <c r="K146" s="212"/>
      <c r="L146" s="212"/>
      <c r="M146" s="212"/>
      <c r="N146" s="212"/>
      <c r="O146" s="212"/>
      <c r="P146" s="212"/>
      <c r="Q146" s="246"/>
    </row>
    <row r="147" spans="2:17" ht="11.25">
      <c r="B147" s="245"/>
      <c r="C147" s="212"/>
      <c r="D147" s="212"/>
      <c r="E147" s="212"/>
      <c r="F147" s="212"/>
      <c r="G147" s="212"/>
      <c r="H147" s="212"/>
      <c r="I147" s="212"/>
      <c r="J147" s="212"/>
      <c r="K147" s="212"/>
      <c r="L147" s="212"/>
      <c r="M147" s="212"/>
      <c r="N147" s="212"/>
      <c r="O147" s="212"/>
      <c r="P147" s="212"/>
      <c r="Q147" s="246"/>
    </row>
    <row r="148" spans="2:17" ht="11.25">
      <c r="B148" s="245"/>
      <c r="C148" s="212"/>
      <c r="D148" s="212"/>
      <c r="E148" s="212"/>
      <c r="F148" s="212"/>
      <c r="G148" s="212"/>
      <c r="H148" s="212"/>
      <c r="I148" s="212"/>
      <c r="J148" s="212"/>
      <c r="K148" s="212"/>
      <c r="L148" s="212"/>
      <c r="M148" s="212"/>
      <c r="N148" s="212"/>
      <c r="O148" s="212"/>
      <c r="P148" s="212"/>
      <c r="Q148" s="246"/>
    </row>
    <row r="149" spans="2:17" ht="11.25">
      <c r="B149" s="245"/>
      <c r="C149" s="212"/>
      <c r="D149" s="212"/>
      <c r="E149" s="212"/>
      <c r="F149" s="212"/>
      <c r="G149" s="212"/>
      <c r="H149" s="212"/>
      <c r="I149" s="212"/>
      <c r="J149" s="212"/>
      <c r="K149" s="212"/>
      <c r="L149" s="212"/>
      <c r="M149" s="212"/>
      <c r="N149" s="212"/>
      <c r="O149" s="212"/>
      <c r="P149" s="212"/>
      <c r="Q149" s="246"/>
    </row>
    <row r="150" spans="2:17" ht="12" thickBot="1">
      <c r="B150" s="247"/>
      <c r="C150" s="248"/>
      <c r="D150" s="248"/>
      <c r="E150" s="248"/>
      <c r="F150" s="248"/>
      <c r="G150" s="248"/>
      <c r="H150" s="248"/>
      <c r="I150" s="248"/>
      <c r="J150" s="248"/>
      <c r="K150" s="248"/>
      <c r="L150" s="248"/>
      <c r="M150" s="248"/>
      <c r="N150" s="248"/>
      <c r="O150" s="248"/>
      <c r="P150" s="248"/>
      <c r="Q150" s="249"/>
    </row>
    <row r="151" ht="12" thickTop="1"/>
  </sheetData>
  <sheetProtection/>
  <mergeCells count="41">
    <mergeCell ref="B90:B95"/>
    <mergeCell ref="B85:B89"/>
    <mergeCell ref="B80:B84"/>
    <mergeCell ref="C79:D79"/>
    <mergeCell ref="C80:D80"/>
    <mergeCell ref="C81:D81"/>
    <mergeCell ref="C82:D82"/>
    <mergeCell ref="C90:D90"/>
    <mergeCell ref="C83:D83"/>
    <mergeCell ref="C84:D84"/>
    <mergeCell ref="C85:D85"/>
    <mergeCell ref="C86:D86"/>
    <mergeCell ref="C95:D95"/>
    <mergeCell ref="M11:O11"/>
    <mergeCell ref="M12:O12"/>
    <mergeCell ref="C91:D91"/>
    <mergeCell ref="C92:D92"/>
    <mergeCell ref="C93:D93"/>
    <mergeCell ref="C94:D94"/>
    <mergeCell ref="C87:D87"/>
    <mergeCell ref="C88:D88"/>
    <mergeCell ref="C89:D89"/>
    <mergeCell ref="J8:L8"/>
    <mergeCell ref="J9:L9"/>
    <mergeCell ref="G11:I11"/>
    <mergeCell ref="G12:I12"/>
    <mergeCell ref="J11:L11"/>
    <mergeCell ref="J12:L12"/>
    <mergeCell ref="B63:H75"/>
    <mergeCell ref="J63:Q75"/>
    <mergeCell ref="C6:Q6"/>
    <mergeCell ref="D8:F8"/>
    <mergeCell ref="D9:F9"/>
    <mergeCell ref="G8:I8"/>
    <mergeCell ref="G9:I9"/>
    <mergeCell ref="D11:F11"/>
    <mergeCell ref="D12:F12"/>
    <mergeCell ref="J19:Q34"/>
    <mergeCell ref="J15:Q15"/>
    <mergeCell ref="J16:Q16"/>
    <mergeCell ref="J17:Q17"/>
  </mergeCells>
  <printOptions/>
  <pageMargins left="0.75" right="0.75" top="0.55" bottom="0.62" header="0.5" footer="0.5"/>
  <pageSetup fitToHeight="1" fitToWidth="1" horizontalDpi="600" verticalDpi="600" orientation="portrait" paperSize="8" scale="55" r:id="rId2"/>
  <headerFooter alignWithMargins="0">
    <oddFooter>&amp;CPage &amp;P of &amp;N</oddFooter>
  </headerFooter>
  <rowBreaks count="1" manualBreakCount="1">
    <brk id="75" min="1" max="16" man="1"/>
  </rowBreaks>
  <ignoredErrors>
    <ignoredError sqref="E82:L82 L94 E94"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148"/>
  <sheetViews>
    <sheetView zoomScaleSheetLayoutView="75" workbookViewId="0" topLeftCell="A1">
      <selection activeCell="B116" sqref="B116:O116"/>
    </sheetView>
  </sheetViews>
  <sheetFormatPr defaultColWidth="9.140625" defaultRowHeight="12.75"/>
  <cols>
    <col min="1" max="1" width="0.9921875" style="370" customWidth="1"/>
    <col min="2" max="2" width="59.8515625" style="370" customWidth="1"/>
    <col min="3" max="3" width="7.8515625" style="370" bestFit="1" customWidth="1"/>
    <col min="4" max="4" width="8.421875" style="370" bestFit="1" customWidth="1"/>
    <col min="5" max="5" width="9.57421875" style="370" bestFit="1" customWidth="1"/>
    <col min="6" max="6" width="7.28125" style="370" bestFit="1" customWidth="1"/>
    <col min="7" max="7" width="8.28125" style="370" bestFit="1" customWidth="1"/>
    <col min="8" max="8" width="8.140625" style="370" bestFit="1" customWidth="1"/>
    <col min="9" max="9" width="7.8515625" style="370" bestFit="1" customWidth="1"/>
    <col min="10" max="11" width="8.140625" style="370" bestFit="1" customWidth="1"/>
    <col min="12" max="13" width="7.8515625" style="370" bestFit="1" customWidth="1"/>
    <col min="14" max="14" width="8.140625" style="370" bestFit="1" customWidth="1"/>
    <col min="15" max="15" width="13.28125" style="370" customWidth="1"/>
    <col min="16" max="16384" width="9.140625" style="370" customWidth="1"/>
  </cols>
  <sheetData>
    <row r="1" spans="1:17" ht="24" thickTop="1">
      <c r="A1" s="368"/>
      <c r="B1" s="439" t="s">
        <v>234</v>
      </c>
      <c r="C1" s="440"/>
      <c r="D1" s="440"/>
      <c r="E1" s="440"/>
      <c r="F1" s="440"/>
      <c r="G1" s="440"/>
      <c r="H1" s="440"/>
      <c r="I1" s="440"/>
      <c r="J1" s="440"/>
      <c r="K1" s="440"/>
      <c r="L1" s="440"/>
      <c r="M1" s="440"/>
      <c r="N1" s="440"/>
      <c r="O1" s="441"/>
      <c r="P1" s="369"/>
      <c r="Q1" s="368"/>
    </row>
    <row r="2" spans="1:17" ht="12.75">
      <c r="A2" s="368"/>
      <c r="B2" s="442"/>
      <c r="C2" s="443"/>
      <c r="D2" s="443"/>
      <c r="E2" s="443"/>
      <c r="F2" s="443"/>
      <c r="G2" s="443"/>
      <c r="H2" s="443"/>
      <c r="I2" s="443"/>
      <c r="J2" s="443"/>
      <c r="K2" s="443"/>
      <c r="L2" s="443"/>
      <c r="M2" s="443"/>
      <c r="N2" s="443"/>
      <c r="O2" s="444"/>
      <c r="P2" s="369"/>
      <c r="Q2" s="368"/>
    </row>
    <row r="3" spans="1:17" ht="12.75">
      <c r="A3" s="368"/>
      <c r="B3" s="442"/>
      <c r="C3" s="443"/>
      <c r="D3" s="443"/>
      <c r="E3" s="443"/>
      <c r="F3" s="443"/>
      <c r="G3" s="443"/>
      <c r="H3" s="443"/>
      <c r="I3" s="443"/>
      <c r="J3" s="443"/>
      <c r="K3" s="443"/>
      <c r="L3" s="443"/>
      <c r="M3" s="443"/>
      <c r="N3" s="443"/>
      <c r="O3" s="444"/>
      <c r="P3" s="369"/>
      <c r="Q3" s="368"/>
    </row>
    <row r="4" spans="1:17" ht="15.75">
      <c r="A4" s="368"/>
      <c r="B4" s="445" t="s">
        <v>154</v>
      </c>
      <c r="C4" s="443"/>
      <c r="D4" s="443"/>
      <c r="E4" s="443"/>
      <c r="F4" s="443"/>
      <c r="G4" s="443"/>
      <c r="H4" s="443"/>
      <c r="I4" s="443"/>
      <c r="J4" s="443"/>
      <c r="K4" s="443"/>
      <c r="L4" s="443"/>
      <c r="M4" s="443"/>
      <c r="N4" s="443"/>
      <c r="O4" s="444"/>
      <c r="P4" s="369"/>
      <c r="Q4" s="368"/>
    </row>
    <row r="5" spans="1:17" ht="13.5" thickBot="1">
      <c r="A5" s="368"/>
      <c r="B5" s="442"/>
      <c r="C5" s="443"/>
      <c r="D5" s="443"/>
      <c r="E5" s="443"/>
      <c r="F5" s="443"/>
      <c r="G5" s="443"/>
      <c r="H5" s="443"/>
      <c r="I5" s="443"/>
      <c r="J5" s="443"/>
      <c r="K5" s="443"/>
      <c r="L5" s="443"/>
      <c r="M5" s="443"/>
      <c r="N5" s="443"/>
      <c r="O5" s="444"/>
      <c r="P5" s="369"/>
      <c r="Q5" s="368"/>
    </row>
    <row r="6" spans="1:17" ht="153.75" customHeight="1">
      <c r="A6" s="368"/>
      <c r="B6" s="446" t="s">
        <v>69</v>
      </c>
      <c r="C6" s="739" t="s">
        <v>294</v>
      </c>
      <c r="D6" s="740"/>
      <c r="E6" s="740"/>
      <c r="F6" s="740"/>
      <c r="G6" s="740"/>
      <c r="H6" s="740"/>
      <c r="I6" s="740"/>
      <c r="J6" s="740"/>
      <c r="K6" s="740"/>
      <c r="L6" s="740"/>
      <c r="M6" s="740"/>
      <c r="N6" s="740"/>
      <c r="O6" s="741"/>
      <c r="P6" s="371"/>
      <c r="Q6" s="368"/>
    </row>
    <row r="7" spans="1:17" ht="12.75">
      <c r="A7" s="368"/>
      <c r="B7" s="447"/>
      <c r="C7" s="372"/>
      <c r="D7" s="372"/>
      <c r="E7" s="372"/>
      <c r="F7" s="372"/>
      <c r="G7" s="372"/>
      <c r="H7" s="372"/>
      <c r="I7" s="372"/>
      <c r="J7" s="372"/>
      <c r="K7" s="372"/>
      <c r="L7" s="373"/>
      <c r="M7" s="373"/>
      <c r="N7" s="373"/>
      <c r="O7" s="448"/>
      <c r="P7" s="369"/>
      <c r="Q7" s="368"/>
    </row>
    <row r="8" spans="1:17" ht="12.75">
      <c r="A8" s="368"/>
      <c r="B8" s="447"/>
      <c r="C8" s="372"/>
      <c r="D8" s="372"/>
      <c r="E8" s="372"/>
      <c r="F8" s="372"/>
      <c r="G8" s="372"/>
      <c r="H8" s="372"/>
      <c r="I8" s="372"/>
      <c r="J8" s="372"/>
      <c r="K8" s="372"/>
      <c r="L8" s="373"/>
      <c r="M8" s="373"/>
      <c r="N8" s="373"/>
      <c r="O8" s="448"/>
      <c r="P8" s="369"/>
      <c r="Q8" s="368"/>
    </row>
    <row r="9" spans="1:18" ht="15">
      <c r="A9" s="368"/>
      <c r="B9" s="447"/>
      <c r="C9" s="372"/>
      <c r="D9" s="372"/>
      <c r="E9" s="372"/>
      <c r="F9" s="372"/>
      <c r="G9" s="372"/>
      <c r="H9" s="742" t="s">
        <v>159</v>
      </c>
      <c r="I9" s="743"/>
      <c r="J9" s="743"/>
      <c r="K9" s="743"/>
      <c r="L9" s="743"/>
      <c r="M9" s="743"/>
      <c r="N9" s="743"/>
      <c r="O9" s="744"/>
      <c r="P9" s="373"/>
      <c r="Q9" s="369"/>
      <c r="R9" s="368"/>
    </row>
    <row r="10" spans="1:18" ht="12.75" customHeight="1">
      <c r="A10" s="368"/>
      <c r="B10" s="447"/>
      <c r="C10" s="372"/>
      <c r="D10" s="372"/>
      <c r="E10" s="372"/>
      <c r="F10" s="372"/>
      <c r="G10" s="372"/>
      <c r="H10" s="374"/>
      <c r="I10" s="375"/>
      <c r="J10" s="375"/>
      <c r="K10" s="375"/>
      <c r="L10" s="375"/>
      <c r="M10" s="376"/>
      <c r="N10" s="376"/>
      <c r="O10" s="449"/>
      <c r="P10" s="373"/>
      <c r="Q10" s="369"/>
      <c r="R10" s="368"/>
    </row>
    <row r="11" spans="1:18" ht="12.75" customHeight="1">
      <c r="A11" s="368"/>
      <c r="B11" s="447"/>
      <c r="C11" s="372"/>
      <c r="D11" s="372"/>
      <c r="E11" s="372"/>
      <c r="F11" s="372"/>
      <c r="G11" s="372"/>
      <c r="H11" s="745" t="s">
        <v>212</v>
      </c>
      <c r="I11" s="746"/>
      <c r="J11" s="746"/>
      <c r="K11" s="746"/>
      <c r="L11" s="746"/>
      <c r="M11" s="746"/>
      <c r="N11" s="746"/>
      <c r="O11" s="747"/>
      <c r="P11" s="373"/>
      <c r="Q11" s="369"/>
      <c r="R11" s="368"/>
    </row>
    <row r="12" spans="1:18" ht="12.75" customHeight="1">
      <c r="A12" s="368"/>
      <c r="B12" s="447"/>
      <c r="C12" s="372"/>
      <c r="D12" s="372"/>
      <c r="E12" s="372"/>
      <c r="F12" s="372"/>
      <c r="G12" s="372"/>
      <c r="H12" s="377"/>
      <c r="I12" s="378"/>
      <c r="J12" s="378"/>
      <c r="K12" s="378"/>
      <c r="L12" s="378"/>
      <c r="M12" s="376"/>
      <c r="N12" s="376"/>
      <c r="O12" s="449"/>
      <c r="P12" s="373"/>
      <c r="Q12" s="369"/>
      <c r="R12" s="368"/>
    </row>
    <row r="13" spans="1:18" ht="12.75" customHeight="1">
      <c r="A13" s="368"/>
      <c r="B13" s="447"/>
      <c r="C13" s="372"/>
      <c r="D13" s="372"/>
      <c r="E13" s="372"/>
      <c r="F13" s="372"/>
      <c r="G13" s="372"/>
      <c r="H13" s="748" t="s">
        <v>274</v>
      </c>
      <c r="I13" s="749"/>
      <c r="J13" s="749"/>
      <c r="K13" s="749"/>
      <c r="L13" s="749"/>
      <c r="M13" s="749"/>
      <c r="N13" s="749"/>
      <c r="O13" s="750"/>
      <c r="P13" s="373"/>
      <c r="Q13" s="369"/>
      <c r="R13" s="368"/>
    </row>
    <row r="14" spans="1:18" ht="12.75" customHeight="1">
      <c r="A14" s="368"/>
      <c r="B14" s="447"/>
      <c r="C14" s="372"/>
      <c r="D14" s="372"/>
      <c r="E14" s="372"/>
      <c r="F14" s="372"/>
      <c r="G14" s="372"/>
      <c r="H14" s="748"/>
      <c r="I14" s="749"/>
      <c r="J14" s="749"/>
      <c r="K14" s="749"/>
      <c r="L14" s="749"/>
      <c r="M14" s="749"/>
      <c r="N14" s="749"/>
      <c r="O14" s="750"/>
      <c r="P14" s="373"/>
      <c r="Q14" s="369"/>
      <c r="R14" s="368"/>
    </row>
    <row r="15" spans="1:18" ht="12.75">
      <c r="A15" s="368"/>
      <c r="B15" s="447"/>
      <c r="C15" s="372"/>
      <c r="D15" s="372"/>
      <c r="E15" s="372"/>
      <c r="F15" s="372"/>
      <c r="G15" s="372"/>
      <c r="H15" s="748"/>
      <c r="I15" s="749"/>
      <c r="J15" s="749"/>
      <c r="K15" s="749"/>
      <c r="L15" s="749"/>
      <c r="M15" s="749"/>
      <c r="N15" s="749"/>
      <c r="O15" s="750"/>
      <c r="P15" s="373"/>
      <c r="Q15" s="369"/>
      <c r="R15" s="368"/>
    </row>
    <row r="16" spans="1:18" ht="12.75">
      <c r="A16" s="368"/>
      <c r="B16" s="447"/>
      <c r="C16" s="372"/>
      <c r="D16" s="372"/>
      <c r="E16" s="372"/>
      <c r="F16" s="372"/>
      <c r="G16" s="372"/>
      <c r="H16" s="748"/>
      <c r="I16" s="749"/>
      <c r="J16" s="749"/>
      <c r="K16" s="749"/>
      <c r="L16" s="749"/>
      <c r="M16" s="749"/>
      <c r="N16" s="749"/>
      <c r="O16" s="750"/>
      <c r="P16" s="373"/>
      <c r="Q16" s="369"/>
      <c r="R16" s="368"/>
    </row>
    <row r="17" spans="1:18" ht="12.75">
      <c r="A17" s="368"/>
      <c r="B17" s="447"/>
      <c r="C17" s="372"/>
      <c r="D17" s="372"/>
      <c r="E17" s="372"/>
      <c r="F17" s="372"/>
      <c r="G17" s="372"/>
      <c r="H17" s="748"/>
      <c r="I17" s="749"/>
      <c r="J17" s="749"/>
      <c r="K17" s="749"/>
      <c r="L17" s="749"/>
      <c r="M17" s="749"/>
      <c r="N17" s="749"/>
      <c r="O17" s="750"/>
      <c r="P17" s="373"/>
      <c r="Q17" s="369"/>
      <c r="R17" s="368"/>
    </row>
    <row r="18" spans="1:18" ht="12.75">
      <c r="A18" s="368"/>
      <c r="B18" s="447"/>
      <c r="C18" s="372"/>
      <c r="D18" s="372"/>
      <c r="E18" s="372"/>
      <c r="F18" s="372"/>
      <c r="G18" s="372"/>
      <c r="H18" s="748"/>
      <c r="I18" s="749"/>
      <c r="J18" s="749"/>
      <c r="K18" s="749"/>
      <c r="L18" s="749"/>
      <c r="M18" s="749"/>
      <c r="N18" s="749"/>
      <c r="O18" s="750"/>
      <c r="P18" s="373"/>
      <c r="Q18" s="369"/>
      <c r="R18" s="368"/>
    </row>
    <row r="19" spans="1:18" ht="12.75">
      <c r="A19" s="368"/>
      <c r="B19" s="447"/>
      <c r="C19" s="372"/>
      <c r="D19" s="372"/>
      <c r="E19" s="372"/>
      <c r="F19" s="372"/>
      <c r="G19" s="372"/>
      <c r="H19" s="748"/>
      <c r="I19" s="749"/>
      <c r="J19" s="749"/>
      <c r="K19" s="749"/>
      <c r="L19" s="749"/>
      <c r="M19" s="749"/>
      <c r="N19" s="749"/>
      <c r="O19" s="750"/>
      <c r="P19" s="373"/>
      <c r="Q19" s="369"/>
      <c r="R19" s="368"/>
    </row>
    <row r="20" spans="1:17" ht="12.75">
      <c r="A20" s="368"/>
      <c r="B20" s="447"/>
      <c r="C20" s="372"/>
      <c r="D20" s="372"/>
      <c r="E20" s="372"/>
      <c r="F20" s="372"/>
      <c r="G20" s="372"/>
      <c r="H20" s="748"/>
      <c r="I20" s="749"/>
      <c r="J20" s="749"/>
      <c r="K20" s="749"/>
      <c r="L20" s="749"/>
      <c r="M20" s="749"/>
      <c r="N20" s="749"/>
      <c r="O20" s="750"/>
      <c r="P20" s="369"/>
      <c r="Q20" s="368"/>
    </row>
    <row r="21" spans="1:17" ht="12.75">
      <c r="A21" s="368"/>
      <c r="B21" s="447"/>
      <c r="C21" s="372"/>
      <c r="D21" s="372"/>
      <c r="E21" s="372"/>
      <c r="F21" s="372"/>
      <c r="G21" s="372"/>
      <c r="H21" s="748"/>
      <c r="I21" s="749"/>
      <c r="J21" s="749"/>
      <c r="K21" s="749"/>
      <c r="L21" s="749"/>
      <c r="M21" s="749"/>
      <c r="N21" s="749"/>
      <c r="O21" s="750"/>
      <c r="P21" s="369"/>
      <c r="Q21" s="368"/>
    </row>
    <row r="22" spans="1:17" ht="12.75">
      <c r="A22" s="368"/>
      <c r="B22" s="447"/>
      <c r="C22" s="372"/>
      <c r="D22" s="372"/>
      <c r="E22" s="372"/>
      <c r="F22" s="372"/>
      <c r="G22" s="372"/>
      <c r="H22" s="748"/>
      <c r="I22" s="749"/>
      <c r="J22" s="749"/>
      <c r="K22" s="749"/>
      <c r="L22" s="749"/>
      <c r="M22" s="749"/>
      <c r="N22" s="749"/>
      <c r="O22" s="750"/>
      <c r="P22" s="369"/>
      <c r="Q22" s="368"/>
    </row>
    <row r="23" spans="1:17" ht="12.75">
      <c r="A23" s="368"/>
      <c r="B23" s="447"/>
      <c r="C23" s="372"/>
      <c r="D23" s="372"/>
      <c r="E23" s="372"/>
      <c r="F23" s="372"/>
      <c r="G23" s="372"/>
      <c r="H23" s="748"/>
      <c r="I23" s="749"/>
      <c r="J23" s="749"/>
      <c r="K23" s="749"/>
      <c r="L23" s="749"/>
      <c r="M23" s="749"/>
      <c r="N23" s="749"/>
      <c r="O23" s="750"/>
      <c r="P23" s="369"/>
      <c r="Q23" s="368"/>
    </row>
    <row r="24" spans="1:17" ht="12.75">
      <c r="A24" s="368"/>
      <c r="B24" s="447"/>
      <c r="C24" s="372"/>
      <c r="D24" s="372"/>
      <c r="E24" s="372"/>
      <c r="F24" s="372"/>
      <c r="G24" s="372"/>
      <c r="H24" s="748"/>
      <c r="I24" s="749"/>
      <c r="J24" s="749"/>
      <c r="K24" s="749"/>
      <c r="L24" s="749"/>
      <c r="M24" s="749"/>
      <c r="N24" s="749"/>
      <c r="O24" s="750"/>
      <c r="P24" s="369"/>
      <c r="Q24" s="368"/>
    </row>
    <row r="25" spans="1:17" ht="12.75">
      <c r="A25" s="368"/>
      <c r="B25" s="447"/>
      <c r="C25" s="372"/>
      <c r="D25" s="372"/>
      <c r="E25" s="372"/>
      <c r="F25" s="372"/>
      <c r="G25" s="372"/>
      <c r="H25" s="748"/>
      <c r="I25" s="749"/>
      <c r="J25" s="749"/>
      <c r="K25" s="749"/>
      <c r="L25" s="749"/>
      <c r="M25" s="749"/>
      <c r="N25" s="749"/>
      <c r="O25" s="750"/>
      <c r="P25" s="369"/>
      <c r="Q25" s="368"/>
    </row>
    <row r="26" spans="1:17" ht="12.75">
      <c r="A26" s="368"/>
      <c r="B26" s="447"/>
      <c r="C26" s="372"/>
      <c r="D26" s="372"/>
      <c r="E26" s="372"/>
      <c r="F26" s="372"/>
      <c r="G26" s="372"/>
      <c r="H26" s="751"/>
      <c r="I26" s="752"/>
      <c r="J26" s="752"/>
      <c r="K26" s="752"/>
      <c r="L26" s="752"/>
      <c r="M26" s="752"/>
      <c r="N26" s="752"/>
      <c r="O26" s="753"/>
      <c r="P26" s="369"/>
      <c r="Q26" s="368"/>
    </row>
    <row r="27" spans="1:17" ht="12.75">
      <c r="A27" s="368"/>
      <c r="B27" s="447"/>
      <c r="C27" s="372"/>
      <c r="D27" s="372"/>
      <c r="E27" s="372"/>
      <c r="F27" s="372"/>
      <c r="G27" s="372"/>
      <c r="H27" s="372"/>
      <c r="I27" s="372"/>
      <c r="J27" s="372"/>
      <c r="K27" s="372"/>
      <c r="L27" s="373"/>
      <c r="M27" s="373"/>
      <c r="N27" s="373"/>
      <c r="O27" s="448"/>
      <c r="P27" s="369"/>
      <c r="Q27" s="368"/>
    </row>
    <row r="28" spans="1:17" ht="12.75">
      <c r="A28" s="368"/>
      <c r="B28" s="447"/>
      <c r="C28" s="372"/>
      <c r="D28" s="372"/>
      <c r="E28" s="372"/>
      <c r="F28" s="372"/>
      <c r="G28" s="372"/>
      <c r="H28" s="372"/>
      <c r="I28" s="372"/>
      <c r="J28" s="372"/>
      <c r="K28" s="372"/>
      <c r="L28" s="373"/>
      <c r="M28" s="373"/>
      <c r="N28" s="373"/>
      <c r="O28" s="448"/>
      <c r="P28" s="369"/>
      <c r="Q28" s="368"/>
    </row>
    <row r="29" spans="1:17" ht="15.75">
      <c r="A29" s="368"/>
      <c r="B29" s="450" t="s">
        <v>152</v>
      </c>
      <c r="C29" s="372"/>
      <c r="D29" s="372"/>
      <c r="E29" s="372"/>
      <c r="F29" s="372"/>
      <c r="G29" s="372"/>
      <c r="H29" s="372"/>
      <c r="I29" s="372"/>
      <c r="J29" s="372"/>
      <c r="K29" s="372"/>
      <c r="L29" s="373"/>
      <c r="M29" s="373"/>
      <c r="N29" s="373"/>
      <c r="O29" s="448"/>
      <c r="P29" s="369"/>
      <c r="Q29" s="368"/>
    </row>
    <row r="30" spans="1:17" ht="13.5" thickBot="1">
      <c r="A30" s="368"/>
      <c r="B30" s="447"/>
      <c r="C30" s="372"/>
      <c r="D30" s="372"/>
      <c r="E30" s="372"/>
      <c r="F30" s="372"/>
      <c r="G30" s="372"/>
      <c r="H30" s="372"/>
      <c r="I30" s="372"/>
      <c r="J30" s="372"/>
      <c r="K30" s="372"/>
      <c r="L30" s="373"/>
      <c r="M30" s="373"/>
      <c r="N30" s="373"/>
      <c r="O30" s="448"/>
      <c r="P30" s="369"/>
      <c r="Q30" s="368"/>
    </row>
    <row r="31" spans="1:17" ht="15.75" thickBot="1">
      <c r="A31" s="368"/>
      <c r="B31" s="733" t="s">
        <v>235</v>
      </c>
      <c r="C31" s="735" t="s">
        <v>236</v>
      </c>
      <c r="D31" s="736"/>
      <c r="E31" s="737"/>
      <c r="F31" s="735" t="s">
        <v>237</v>
      </c>
      <c r="G31" s="736"/>
      <c r="H31" s="738"/>
      <c r="I31" s="735" t="s">
        <v>238</v>
      </c>
      <c r="J31" s="736"/>
      <c r="K31" s="738"/>
      <c r="L31" s="735" t="s">
        <v>239</v>
      </c>
      <c r="M31" s="736"/>
      <c r="N31" s="737"/>
      <c r="O31" s="451"/>
      <c r="P31" s="369"/>
      <c r="Q31" s="368"/>
    </row>
    <row r="32" spans="1:17" ht="15.75" thickBot="1">
      <c r="A32" s="368"/>
      <c r="B32" s="734"/>
      <c r="C32" s="379">
        <v>40634</v>
      </c>
      <c r="D32" s="379">
        <v>40664</v>
      </c>
      <c r="E32" s="379">
        <v>40695</v>
      </c>
      <c r="F32" s="379">
        <v>40725</v>
      </c>
      <c r="G32" s="379">
        <v>40756</v>
      </c>
      <c r="H32" s="379">
        <v>40787</v>
      </c>
      <c r="I32" s="379">
        <v>40817</v>
      </c>
      <c r="J32" s="379">
        <v>40848</v>
      </c>
      <c r="K32" s="379">
        <v>40878</v>
      </c>
      <c r="L32" s="379">
        <v>40909</v>
      </c>
      <c r="M32" s="379">
        <v>40940</v>
      </c>
      <c r="N32" s="379">
        <v>40969</v>
      </c>
      <c r="O32" s="452" t="s">
        <v>45</v>
      </c>
      <c r="P32" s="369"/>
      <c r="Q32" s="368"/>
    </row>
    <row r="33" spans="1:17" ht="14.25">
      <c r="A33" s="368"/>
      <c r="B33" s="453" t="s">
        <v>240</v>
      </c>
      <c r="C33" s="454">
        <v>13.27</v>
      </c>
      <c r="D33" s="454">
        <v>11.19</v>
      </c>
      <c r="E33" s="380">
        <v>8.55</v>
      </c>
      <c r="F33" s="454"/>
      <c r="G33" s="454"/>
      <c r="H33" s="380"/>
      <c r="I33" s="454"/>
      <c r="J33" s="454"/>
      <c r="K33" s="380"/>
      <c r="L33" s="454"/>
      <c r="M33" s="454"/>
      <c r="N33" s="454"/>
      <c r="O33" s="455"/>
      <c r="P33" s="369"/>
      <c r="Q33" s="368"/>
    </row>
    <row r="34" spans="1:17" ht="14.25">
      <c r="A34" s="368"/>
      <c r="B34" s="456" t="s">
        <v>241</v>
      </c>
      <c r="C34" s="457">
        <f>C33</f>
        <v>13.27</v>
      </c>
      <c r="D34" s="457">
        <f aca="true" t="shared" si="0" ref="D34:N34">IF(D33&gt;0,C34+D33,"")</f>
        <v>24.46</v>
      </c>
      <c r="E34" s="457">
        <f t="shared" si="0"/>
        <v>33.010000000000005</v>
      </c>
      <c r="F34" s="381">
        <f t="shared" si="0"/>
      </c>
      <c r="G34" s="457">
        <f t="shared" si="0"/>
      </c>
      <c r="H34" s="457">
        <f t="shared" si="0"/>
      </c>
      <c r="I34" s="381">
        <f t="shared" si="0"/>
      </c>
      <c r="J34" s="457">
        <f t="shared" si="0"/>
      </c>
      <c r="K34" s="457">
        <f t="shared" si="0"/>
      </c>
      <c r="L34" s="381">
        <f t="shared" si="0"/>
      </c>
      <c r="M34" s="457">
        <f t="shared" si="0"/>
      </c>
      <c r="N34" s="457">
        <f t="shared" si="0"/>
      </c>
      <c r="O34" s="458"/>
      <c r="P34" s="369"/>
      <c r="Q34" s="368"/>
    </row>
    <row r="35" spans="1:17" ht="14.25">
      <c r="A35" s="368"/>
      <c r="B35" s="456" t="s">
        <v>242</v>
      </c>
      <c r="C35" s="454"/>
      <c r="D35" s="454"/>
      <c r="E35" s="382">
        <v>33.94</v>
      </c>
      <c r="F35" s="454"/>
      <c r="G35" s="454"/>
      <c r="H35" s="382">
        <v>24.53</v>
      </c>
      <c r="I35" s="383"/>
      <c r="J35" s="454"/>
      <c r="K35" s="382">
        <v>39.85</v>
      </c>
      <c r="L35" s="454"/>
      <c r="M35" s="454"/>
      <c r="N35" s="382">
        <v>42.52</v>
      </c>
      <c r="O35" s="459">
        <f>N36</f>
        <v>140.84</v>
      </c>
      <c r="P35" s="369"/>
      <c r="Q35" s="368"/>
    </row>
    <row r="36" spans="1:17" ht="14.25">
      <c r="A36" s="368"/>
      <c r="B36" s="456" t="s">
        <v>249</v>
      </c>
      <c r="C36" s="384">
        <f>E36/3</f>
        <v>11.313333333333333</v>
      </c>
      <c r="D36" s="384">
        <f>C36*2</f>
        <v>22.626666666666665</v>
      </c>
      <c r="E36" s="385">
        <f>E35</f>
        <v>33.94</v>
      </c>
      <c r="F36" s="384">
        <f>SUM(E36+$H$35/3)</f>
        <v>42.11666666666667</v>
      </c>
      <c r="G36" s="384">
        <f>SUM(F36+$H$35/3)</f>
        <v>50.29333333333334</v>
      </c>
      <c r="H36" s="385">
        <f>(E36+H35)</f>
        <v>58.47</v>
      </c>
      <c r="I36" s="384">
        <f>SUM(H36+$K$35/3)</f>
        <v>71.75333333333333</v>
      </c>
      <c r="J36" s="384">
        <f>SUM(I36+$K$35/3)</f>
        <v>85.03666666666666</v>
      </c>
      <c r="K36" s="385">
        <f>(H36+K35)</f>
        <v>98.32</v>
      </c>
      <c r="L36" s="384">
        <f>SUM(K36+$N$35/3)</f>
        <v>112.49333333333333</v>
      </c>
      <c r="M36" s="384">
        <f>SUM(L36+$N$35/3)</f>
        <v>126.66666666666666</v>
      </c>
      <c r="N36" s="385">
        <f>(K36+N35)</f>
        <v>140.84</v>
      </c>
      <c r="O36" s="458"/>
      <c r="P36" s="369"/>
      <c r="Q36" s="368"/>
    </row>
    <row r="37" spans="1:17" ht="14.25">
      <c r="A37" s="368"/>
      <c r="B37" s="456" t="s">
        <v>250</v>
      </c>
      <c r="C37" s="384">
        <f>(E37/3)</f>
        <v>12.979999999999999</v>
      </c>
      <c r="D37" s="384">
        <f>(C37*2)</f>
        <v>25.959999999999997</v>
      </c>
      <c r="E37" s="385">
        <f>(E36+5)</f>
        <v>38.94</v>
      </c>
      <c r="F37" s="384">
        <f>(E37+(H37-E37)/3)</f>
        <v>48.78333333333333</v>
      </c>
      <c r="G37" s="384">
        <f>E37+(H37-E37)*2/3</f>
        <v>58.626666666666665</v>
      </c>
      <c r="H37" s="385">
        <f>(H36+10)</f>
        <v>68.47</v>
      </c>
      <c r="I37" s="384">
        <f>(H37+(K37-H37)/3)</f>
        <v>83.42</v>
      </c>
      <c r="J37" s="384">
        <f>(H37+(K37-H37)*2/3)</f>
        <v>98.36999999999999</v>
      </c>
      <c r="K37" s="385">
        <f>(K36+15)</f>
        <v>113.32</v>
      </c>
      <c r="L37" s="384">
        <f>(K37+(N37-K37)/3)</f>
        <v>129.16</v>
      </c>
      <c r="M37" s="384">
        <f>(K37+(N37-K37)*2/3)</f>
        <v>145</v>
      </c>
      <c r="N37" s="385">
        <f>(N36+20)</f>
        <v>160.84</v>
      </c>
      <c r="O37" s="458"/>
      <c r="P37" s="369"/>
      <c r="Q37" s="368"/>
    </row>
    <row r="38" spans="1:17" ht="15" thickBot="1">
      <c r="A38" s="368"/>
      <c r="B38" s="460" t="s">
        <v>251</v>
      </c>
      <c r="C38" s="386">
        <f>E38/3</f>
        <v>9.646666666666667</v>
      </c>
      <c r="D38" s="386">
        <f>C38*2</f>
        <v>19.293333333333333</v>
      </c>
      <c r="E38" s="387">
        <f>(E36-5)</f>
        <v>28.939999999999998</v>
      </c>
      <c r="F38" s="386">
        <f>E38+(H38-E38)/3</f>
        <v>35.449999999999996</v>
      </c>
      <c r="G38" s="386">
        <f>E38+(H38-E38)*2/3</f>
        <v>41.96</v>
      </c>
      <c r="H38" s="387">
        <f>(H36-10)</f>
        <v>48.47</v>
      </c>
      <c r="I38" s="386">
        <f>H38+(K38-H38)/3</f>
        <v>60.086666666666666</v>
      </c>
      <c r="J38" s="386">
        <f>H38+(K38-H38)*2/3</f>
        <v>71.70333333333333</v>
      </c>
      <c r="K38" s="387">
        <f>(K36-15)</f>
        <v>83.32</v>
      </c>
      <c r="L38" s="386">
        <f>K38+(N38-K38)/3</f>
        <v>95.82666666666667</v>
      </c>
      <c r="M38" s="386">
        <f>K38+(N38-K38)*2/3</f>
        <v>108.33333333333333</v>
      </c>
      <c r="N38" s="387">
        <f>(N36-20)</f>
        <v>120.84</v>
      </c>
      <c r="O38" s="461"/>
      <c r="P38" s="369"/>
      <c r="Q38" s="368"/>
    </row>
    <row r="39" spans="1:17" ht="12.75">
      <c r="A39" s="368"/>
      <c r="B39" s="447"/>
      <c r="C39" s="388">
        <v>30</v>
      </c>
      <c r="D39" s="388">
        <v>31</v>
      </c>
      <c r="E39" s="388">
        <v>30</v>
      </c>
      <c r="F39" s="388">
        <v>31</v>
      </c>
      <c r="G39" s="388">
        <v>31</v>
      </c>
      <c r="H39" s="388">
        <v>30</v>
      </c>
      <c r="I39" s="388">
        <v>31</v>
      </c>
      <c r="J39" s="388">
        <v>30</v>
      </c>
      <c r="K39" s="388">
        <v>31</v>
      </c>
      <c r="L39" s="389">
        <v>31</v>
      </c>
      <c r="M39" s="389">
        <v>29</v>
      </c>
      <c r="N39" s="389">
        <v>31</v>
      </c>
      <c r="O39" s="448"/>
      <c r="P39" s="369"/>
      <c r="Q39" s="368"/>
    </row>
    <row r="40" spans="1:17" ht="12.75">
      <c r="A40" s="368"/>
      <c r="B40" s="447"/>
      <c r="C40" s="390">
        <v>1.6666666666666667</v>
      </c>
      <c r="D40" s="390">
        <v>3.3333333333333335</v>
      </c>
      <c r="E40" s="462">
        <v>5</v>
      </c>
      <c r="F40" s="390">
        <v>6.666666666666667</v>
      </c>
      <c r="G40" s="390">
        <v>8.333333333333334</v>
      </c>
      <c r="H40" s="462">
        <v>10</v>
      </c>
      <c r="I40" s="390">
        <v>11.666666666666666</v>
      </c>
      <c r="J40" s="390">
        <v>13.333333333333334</v>
      </c>
      <c r="K40" s="462">
        <v>15</v>
      </c>
      <c r="L40" s="390">
        <v>16.666666666666668</v>
      </c>
      <c r="M40" s="390">
        <v>18.333333333333332</v>
      </c>
      <c r="N40" s="462">
        <v>20</v>
      </c>
      <c r="O40" s="448"/>
      <c r="P40" s="369"/>
      <c r="Q40" s="368"/>
    </row>
    <row r="41" spans="1:17" ht="12.75">
      <c r="A41" s="368"/>
      <c r="B41" s="447"/>
      <c r="C41" s="391"/>
      <c r="D41" s="391"/>
      <c r="E41" s="391"/>
      <c r="F41" s="391"/>
      <c r="G41" s="391"/>
      <c r="H41" s="391"/>
      <c r="I41" s="391"/>
      <c r="J41" s="391"/>
      <c r="K41" s="391"/>
      <c r="L41" s="392"/>
      <c r="M41" s="392"/>
      <c r="N41" s="392"/>
      <c r="O41" s="448"/>
      <c r="P41" s="369"/>
      <c r="Q41" s="368"/>
    </row>
    <row r="42" spans="1:17" ht="12.75">
      <c r="A42" s="368"/>
      <c r="B42" s="447"/>
      <c r="C42" s="391"/>
      <c r="D42" s="391"/>
      <c r="E42" s="391"/>
      <c r="F42" s="391"/>
      <c r="G42" s="391"/>
      <c r="H42" s="391"/>
      <c r="I42" s="391"/>
      <c r="J42" s="391"/>
      <c r="K42" s="391"/>
      <c r="L42" s="392"/>
      <c r="M42" s="392"/>
      <c r="N42" s="392"/>
      <c r="O42" s="448"/>
      <c r="P42" s="369"/>
      <c r="Q42" s="368"/>
    </row>
    <row r="43" spans="1:17" ht="12.75">
      <c r="A43" s="368"/>
      <c r="B43" s="447"/>
      <c r="C43" s="391"/>
      <c r="D43" s="391"/>
      <c r="E43" s="391"/>
      <c r="F43" s="391"/>
      <c r="G43" s="391"/>
      <c r="H43" s="391"/>
      <c r="I43" s="391"/>
      <c r="J43" s="391"/>
      <c r="K43" s="391"/>
      <c r="L43" s="392"/>
      <c r="M43" s="392"/>
      <c r="N43" s="392"/>
      <c r="O43" s="448"/>
      <c r="P43" s="369"/>
      <c r="Q43" s="368"/>
    </row>
    <row r="44" spans="1:17" ht="12.75">
      <c r="A44" s="368"/>
      <c r="B44" s="447"/>
      <c r="C44" s="391"/>
      <c r="D44" s="391"/>
      <c r="E44" s="391"/>
      <c r="F44" s="391"/>
      <c r="G44" s="391"/>
      <c r="H44" s="391"/>
      <c r="I44" s="391"/>
      <c r="J44" s="391"/>
      <c r="K44" s="391"/>
      <c r="L44" s="392"/>
      <c r="M44" s="392"/>
      <c r="N44" s="392"/>
      <c r="O44" s="448"/>
      <c r="P44" s="369"/>
      <c r="Q44" s="368"/>
    </row>
    <row r="45" spans="1:17" ht="12.75">
      <c r="A45" s="368"/>
      <c r="B45" s="447"/>
      <c r="C45" s="391"/>
      <c r="D45" s="391"/>
      <c r="E45" s="391"/>
      <c r="F45" s="391"/>
      <c r="G45" s="391"/>
      <c r="H45" s="391"/>
      <c r="I45" s="391"/>
      <c r="J45" s="391"/>
      <c r="K45" s="391"/>
      <c r="L45" s="392"/>
      <c r="M45" s="392"/>
      <c r="N45" s="392"/>
      <c r="O45" s="448"/>
      <c r="P45" s="369"/>
      <c r="Q45" s="368"/>
    </row>
    <row r="46" spans="1:17" ht="12.75">
      <c r="A46" s="368"/>
      <c r="B46" s="447"/>
      <c r="C46" s="391"/>
      <c r="D46" s="391"/>
      <c r="E46" s="391"/>
      <c r="F46" s="391"/>
      <c r="G46" s="391"/>
      <c r="H46" s="391"/>
      <c r="I46" s="391"/>
      <c r="J46" s="391"/>
      <c r="K46" s="391"/>
      <c r="L46" s="392"/>
      <c r="M46" s="392"/>
      <c r="N46" s="392"/>
      <c r="O46" s="448"/>
      <c r="P46" s="369"/>
      <c r="Q46" s="368"/>
    </row>
    <row r="47" spans="1:17" ht="12.75">
      <c r="A47" s="368"/>
      <c r="B47" s="447"/>
      <c r="C47" s="391"/>
      <c r="D47" s="391"/>
      <c r="E47" s="391"/>
      <c r="F47" s="391"/>
      <c r="G47" s="391"/>
      <c r="H47" s="391"/>
      <c r="I47" s="391"/>
      <c r="J47" s="391"/>
      <c r="K47" s="391"/>
      <c r="L47" s="392"/>
      <c r="M47" s="392"/>
      <c r="N47" s="392"/>
      <c r="O47" s="448"/>
      <c r="P47" s="369"/>
      <c r="Q47" s="368"/>
    </row>
    <row r="48" spans="1:17" ht="12.75">
      <c r="A48" s="368"/>
      <c r="B48" s="447"/>
      <c r="C48" s="391"/>
      <c r="D48" s="391"/>
      <c r="E48" s="391"/>
      <c r="F48" s="391"/>
      <c r="G48" s="391"/>
      <c r="H48" s="391"/>
      <c r="I48" s="391"/>
      <c r="J48" s="391"/>
      <c r="K48" s="391"/>
      <c r="L48" s="392"/>
      <c r="M48" s="392"/>
      <c r="N48" s="392"/>
      <c r="O48" s="448"/>
      <c r="P48" s="369"/>
      <c r="Q48" s="368"/>
    </row>
    <row r="49" spans="1:17" ht="12.75">
      <c r="A49" s="368"/>
      <c r="B49" s="447"/>
      <c r="C49" s="391"/>
      <c r="D49" s="391"/>
      <c r="E49" s="391"/>
      <c r="F49" s="391"/>
      <c r="G49" s="391"/>
      <c r="H49" s="391"/>
      <c r="I49" s="391"/>
      <c r="J49" s="391"/>
      <c r="K49" s="391"/>
      <c r="L49" s="392"/>
      <c r="M49" s="392"/>
      <c r="N49" s="392"/>
      <c r="O49" s="448"/>
      <c r="P49" s="369"/>
      <c r="Q49" s="368"/>
    </row>
    <row r="50" spans="1:17" ht="12.75">
      <c r="A50" s="368"/>
      <c r="B50" s="447"/>
      <c r="C50" s="391"/>
      <c r="D50" s="391"/>
      <c r="E50" s="391"/>
      <c r="F50" s="391"/>
      <c r="G50" s="391"/>
      <c r="H50" s="391"/>
      <c r="I50" s="391"/>
      <c r="J50" s="391"/>
      <c r="K50" s="391"/>
      <c r="L50" s="392"/>
      <c r="M50" s="392"/>
      <c r="N50" s="392"/>
      <c r="O50" s="448"/>
      <c r="P50" s="369"/>
      <c r="Q50" s="368"/>
    </row>
    <row r="51" spans="1:17" ht="12.75">
      <c r="A51" s="368"/>
      <c r="B51" s="447"/>
      <c r="C51" s="391"/>
      <c r="D51" s="391"/>
      <c r="E51" s="391"/>
      <c r="F51" s="391"/>
      <c r="G51" s="391"/>
      <c r="H51" s="391"/>
      <c r="I51" s="391"/>
      <c r="J51" s="391"/>
      <c r="K51" s="391"/>
      <c r="L51" s="392"/>
      <c r="M51" s="392"/>
      <c r="N51" s="392"/>
      <c r="O51" s="448"/>
      <c r="P51" s="369"/>
      <c r="Q51" s="368"/>
    </row>
    <row r="52" spans="1:17" ht="12.75">
      <c r="A52" s="368"/>
      <c r="B52" s="447"/>
      <c r="C52" s="391"/>
      <c r="D52" s="391"/>
      <c r="E52" s="391"/>
      <c r="F52" s="391"/>
      <c r="G52" s="391"/>
      <c r="H52" s="391"/>
      <c r="I52" s="391"/>
      <c r="J52" s="391"/>
      <c r="K52" s="391"/>
      <c r="L52" s="392"/>
      <c r="M52" s="392"/>
      <c r="N52" s="392"/>
      <c r="O52" s="448"/>
      <c r="P52" s="369"/>
      <c r="Q52" s="368"/>
    </row>
    <row r="53" spans="1:17" ht="12.75">
      <c r="A53" s="368"/>
      <c r="B53" s="447"/>
      <c r="C53" s="391"/>
      <c r="D53" s="391"/>
      <c r="E53" s="391"/>
      <c r="F53" s="391"/>
      <c r="G53" s="391"/>
      <c r="H53" s="391"/>
      <c r="I53" s="391"/>
      <c r="J53" s="391"/>
      <c r="K53" s="391"/>
      <c r="L53" s="392"/>
      <c r="M53" s="392"/>
      <c r="N53" s="392"/>
      <c r="O53" s="448"/>
      <c r="P53" s="369"/>
      <c r="Q53" s="368"/>
    </row>
    <row r="54" spans="1:17" ht="12.75">
      <c r="A54" s="368"/>
      <c r="B54" s="447"/>
      <c r="C54" s="391"/>
      <c r="D54" s="391"/>
      <c r="E54" s="391"/>
      <c r="F54" s="391"/>
      <c r="G54" s="391"/>
      <c r="H54" s="391"/>
      <c r="I54" s="391"/>
      <c r="J54" s="391"/>
      <c r="K54" s="391"/>
      <c r="L54" s="392"/>
      <c r="M54" s="392"/>
      <c r="N54" s="392"/>
      <c r="O54" s="448"/>
      <c r="P54" s="369"/>
      <c r="Q54" s="368"/>
    </row>
    <row r="55" spans="1:17" ht="12.75">
      <c r="A55" s="368"/>
      <c r="B55" s="447"/>
      <c r="C55" s="391"/>
      <c r="D55" s="391"/>
      <c r="E55" s="391"/>
      <c r="F55" s="391"/>
      <c r="G55" s="391"/>
      <c r="H55" s="391"/>
      <c r="I55" s="391"/>
      <c r="J55" s="391"/>
      <c r="K55" s="391"/>
      <c r="L55" s="392"/>
      <c r="M55" s="392"/>
      <c r="N55" s="392"/>
      <c r="O55" s="448"/>
      <c r="P55" s="369"/>
      <c r="Q55" s="368"/>
    </row>
    <row r="56" spans="1:17" ht="12.75">
      <c r="A56" s="368"/>
      <c r="B56" s="447"/>
      <c r="C56" s="391"/>
      <c r="D56" s="391"/>
      <c r="E56" s="391"/>
      <c r="F56" s="391"/>
      <c r="G56" s="391"/>
      <c r="H56" s="391"/>
      <c r="I56" s="391"/>
      <c r="J56" s="391"/>
      <c r="K56" s="391"/>
      <c r="L56" s="392"/>
      <c r="M56" s="392"/>
      <c r="N56" s="392"/>
      <c r="O56" s="448"/>
      <c r="P56" s="369"/>
      <c r="Q56" s="368"/>
    </row>
    <row r="57" spans="1:17" ht="12.75">
      <c r="A57" s="368"/>
      <c r="B57" s="447"/>
      <c r="C57" s="391"/>
      <c r="D57" s="391"/>
      <c r="E57" s="391"/>
      <c r="F57" s="391"/>
      <c r="G57" s="391"/>
      <c r="H57" s="391"/>
      <c r="I57" s="391"/>
      <c r="J57" s="391"/>
      <c r="K57" s="391"/>
      <c r="L57" s="392"/>
      <c r="M57" s="392"/>
      <c r="N57" s="392"/>
      <c r="O57" s="448"/>
      <c r="P57" s="369"/>
      <c r="Q57" s="368"/>
    </row>
    <row r="58" spans="1:17" ht="12.75">
      <c r="A58" s="368"/>
      <c r="B58" s="447"/>
      <c r="C58" s="391"/>
      <c r="D58" s="391"/>
      <c r="E58" s="391"/>
      <c r="F58" s="391"/>
      <c r="G58" s="391"/>
      <c r="H58" s="391"/>
      <c r="I58" s="391"/>
      <c r="J58" s="391"/>
      <c r="K58" s="391"/>
      <c r="L58" s="392"/>
      <c r="M58" s="392"/>
      <c r="N58" s="392"/>
      <c r="O58" s="448"/>
      <c r="P58" s="369"/>
      <c r="Q58" s="368"/>
    </row>
    <row r="59" spans="1:17" ht="12.75">
      <c r="A59" s="368"/>
      <c r="B59" s="447"/>
      <c r="C59" s="391"/>
      <c r="D59" s="391"/>
      <c r="E59" s="391"/>
      <c r="F59" s="391"/>
      <c r="G59" s="391"/>
      <c r="H59" s="391"/>
      <c r="I59" s="391"/>
      <c r="J59" s="391"/>
      <c r="K59" s="391"/>
      <c r="L59" s="392"/>
      <c r="M59" s="392"/>
      <c r="N59" s="392"/>
      <c r="O59" s="448"/>
      <c r="P59" s="369"/>
      <c r="Q59" s="368"/>
    </row>
    <row r="60" spans="1:17" ht="12.75">
      <c r="A60" s="368"/>
      <c r="B60" s="447"/>
      <c r="C60" s="391"/>
      <c r="D60" s="391"/>
      <c r="E60" s="391"/>
      <c r="F60" s="391"/>
      <c r="G60" s="391"/>
      <c r="H60" s="391"/>
      <c r="I60" s="391"/>
      <c r="J60" s="391"/>
      <c r="K60" s="391"/>
      <c r="L60" s="392"/>
      <c r="M60" s="392"/>
      <c r="N60" s="392"/>
      <c r="O60" s="448"/>
      <c r="P60" s="369"/>
      <c r="Q60" s="368"/>
    </row>
    <row r="61" spans="1:17" ht="12.75">
      <c r="A61" s="368"/>
      <c r="B61" s="447"/>
      <c r="C61" s="391"/>
      <c r="D61" s="391"/>
      <c r="E61" s="391"/>
      <c r="F61" s="391"/>
      <c r="G61" s="391"/>
      <c r="H61" s="391"/>
      <c r="I61" s="391"/>
      <c r="J61" s="391"/>
      <c r="K61" s="391"/>
      <c r="L61" s="392"/>
      <c r="M61" s="392"/>
      <c r="N61" s="392"/>
      <c r="O61" s="448"/>
      <c r="P61" s="369"/>
      <c r="Q61" s="368"/>
    </row>
    <row r="62" spans="1:17" ht="12.75">
      <c r="A62" s="368"/>
      <c r="B62" s="447"/>
      <c r="C62" s="391"/>
      <c r="D62" s="391"/>
      <c r="E62" s="391"/>
      <c r="F62" s="391"/>
      <c r="G62" s="391"/>
      <c r="H62" s="391"/>
      <c r="I62" s="391"/>
      <c r="J62" s="391"/>
      <c r="K62" s="391"/>
      <c r="L62" s="392"/>
      <c r="M62" s="392"/>
      <c r="N62" s="392"/>
      <c r="O62" s="448"/>
      <c r="P62" s="369"/>
      <c r="Q62" s="368"/>
    </row>
    <row r="63" spans="1:17" ht="12.75">
      <c r="A63" s="368"/>
      <c r="B63" s="447"/>
      <c r="C63" s="391"/>
      <c r="D63" s="391"/>
      <c r="E63" s="391"/>
      <c r="F63" s="391"/>
      <c r="G63" s="391"/>
      <c r="H63" s="391"/>
      <c r="I63" s="391"/>
      <c r="J63" s="391"/>
      <c r="K63" s="391"/>
      <c r="L63" s="392"/>
      <c r="M63" s="392"/>
      <c r="N63" s="392"/>
      <c r="O63" s="448"/>
      <c r="P63" s="369"/>
      <c r="Q63" s="368"/>
    </row>
    <row r="64" spans="1:17" ht="12.75" customHeight="1">
      <c r="A64" s="368"/>
      <c r="B64" s="463"/>
      <c r="C64" s="435"/>
      <c r="D64" s="435"/>
      <c r="E64" s="435"/>
      <c r="F64" s="435"/>
      <c r="G64" s="435"/>
      <c r="H64" s="435"/>
      <c r="I64" s="435"/>
      <c r="J64" s="435"/>
      <c r="K64" s="435"/>
      <c r="L64" s="435"/>
      <c r="M64" s="435"/>
      <c r="N64" s="435"/>
      <c r="O64" s="464"/>
      <c r="P64" s="369"/>
      <c r="Q64" s="368"/>
    </row>
    <row r="65" spans="1:17" ht="12.75" customHeight="1">
      <c r="A65" s="368"/>
      <c r="B65" s="463"/>
      <c r="C65" s="435"/>
      <c r="D65" s="435"/>
      <c r="E65" s="435"/>
      <c r="F65" s="435"/>
      <c r="G65" s="435"/>
      <c r="H65" s="435"/>
      <c r="I65" s="435"/>
      <c r="J65" s="435"/>
      <c r="K65" s="435"/>
      <c r="L65" s="435"/>
      <c r="M65" s="435"/>
      <c r="N65" s="435"/>
      <c r="O65" s="464"/>
      <c r="P65" s="369"/>
      <c r="Q65" s="368"/>
    </row>
    <row r="66" spans="1:17" ht="12.75" customHeight="1">
      <c r="A66" s="368"/>
      <c r="B66" s="463"/>
      <c r="C66" s="435"/>
      <c r="D66" s="435"/>
      <c r="E66" s="435"/>
      <c r="F66" s="435"/>
      <c r="G66" s="435"/>
      <c r="H66" s="435"/>
      <c r="I66" s="435"/>
      <c r="J66" s="435"/>
      <c r="K66" s="435"/>
      <c r="L66" s="435"/>
      <c r="M66" s="435"/>
      <c r="N66" s="435"/>
      <c r="O66" s="464"/>
      <c r="P66" s="369"/>
      <c r="Q66" s="368"/>
    </row>
    <row r="67" spans="1:17" ht="12.75" customHeight="1">
      <c r="A67" s="368"/>
      <c r="B67" s="463"/>
      <c r="C67" s="435"/>
      <c r="D67" s="435"/>
      <c r="E67" s="435"/>
      <c r="F67" s="435"/>
      <c r="G67" s="435"/>
      <c r="H67" s="435"/>
      <c r="I67" s="435"/>
      <c r="J67" s="435"/>
      <c r="K67" s="435"/>
      <c r="L67" s="435"/>
      <c r="M67" s="435"/>
      <c r="N67" s="435"/>
      <c r="O67" s="464"/>
      <c r="P67" s="369"/>
      <c r="Q67" s="368"/>
    </row>
    <row r="68" spans="1:17" ht="12.75" customHeight="1">
      <c r="A68" s="368"/>
      <c r="B68" s="463"/>
      <c r="C68" s="435"/>
      <c r="D68" s="435"/>
      <c r="E68" s="435"/>
      <c r="F68" s="435"/>
      <c r="G68" s="435"/>
      <c r="H68" s="435"/>
      <c r="I68" s="435"/>
      <c r="J68" s="435"/>
      <c r="K68" s="435"/>
      <c r="L68" s="435"/>
      <c r="M68" s="435"/>
      <c r="N68" s="435"/>
      <c r="O68" s="464"/>
      <c r="P68" s="369"/>
      <c r="Q68" s="368"/>
    </row>
    <row r="69" spans="1:17" ht="12.75" customHeight="1">
      <c r="A69" s="368"/>
      <c r="B69" s="465"/>
      <c r="C69" s="466"/>
      <c r="D69" s="466"/>
      <c r="E69" s="466"/>
      <c r="F69" s="466"/>
      <c r="G69" s="466"/>
      <c r="H69" s="466"/>
      <c r="I69" s="466"/>
      <c r="J69" s="466"/>
      <c r="K69" s="466"/>
      <c r="L69" s="466"/>
      <c r="M69" s="466"/>
      <c r="N69" s="466"/>
      <c r="O69" s="467"/>
      <c r="P69" s="369"/>
      <c r="Q69" s="368"/>
    </row>
    <row r="70" spans="1:17" ht="12.75" customHeight="1">
      <c r="A70" s="368"/>
      <c r="B70" s="754" t="s">
        <v>4</v>
      </c>
      <c r="C70" s="755"/>
      <c r="D70" s="755"/>
      <c r="E70" s="755"/>
      <c r="F70" s="755"/>
      <c r="G70" s="755"/>
      <c r="H70" s="755"/>
      <c r="I70" s="755"/>
      <c r="J70" s="755"/>
      <c r="K70" s="755"/>
      <c r="L70" s="755"/>
      <c r="M70" s="755"/>
      <c r="N70" s="755"/>
      <c r="O70" s="756"/>
      <c r="P70" s="369"/>
      <c r="Q70" s="368"/>
    </row>
    <row r="71" spans="1:17" ht="12.75" customHeight="1">
      <c r="A71" s="368"/>
      <c r="B71" s="754"/>
      <c r="C71" s="755"/>
      <c r="D71" s="755"/>
      <c r="E71" s="755"/>
      <c r="F71" s="755"/>
      <c r="G71" s="755"/>
      <c r="H71" s="755"/>
      <c r="I71" s="755"/>
      <c r="J71" s="755"/>
      <c r="K71" s="755"/>
      <c r="L71" s="755"/>
      <c r="M71" s="755"/>
      <c r="N71" s="755"/>
      <c r="O71" s="756"/>
      <c r="P71" s="369"/>
      <c r="Q71" s="368"/>
    </row>
    <row r="72" spans="1:17" ht="12.75" customHeight="1">
      <c r="A72" s="368"/>
      <c r="B72" s="754"/>
      <c r="C72" s="755"/>
      <c r="D72" s="755"/>
      <c r="E72" s="755"/>
      <c r="F72" s="755"/>
      <c r="G72" s="755"/>
      <c r="H72" s="755"/>
      <c r="I72" s="755"/>
      <c r="J72" s="755"/>
      <c r="K72" s="755"/>
      <c r="L72" s="755"/>
      <c r="M72" s="755"/>
      <c r="N72" s="755"/>
      <c r="O72" s="756"/>
      <c r="P72" s="369"/>
      <c r="Q72" s="368"/>
    </row>
    <row r="73" spans="1:17" ht="12.75" customHeight="1">
      <c r="A73" s="368"/>
      <c r="B73" s="754"/>
      <c r="C73" s="755"/>
      <c r="D73" s="755"/>
      <c r="E73" s="755"/>
      <c r="F73" s="755"/>
      <c r="G73" s="755"/>
      <c r="H73" s="755"/>
      <c r="I73" s="755"/>
      <c r="J73" s="755"/>
      <c r="K73" s="755"/>
      <c r="L73" s="755"/>
      <c r="M73" s="755"/>
      <c r="N73" s="755"/>
      <c r="O73" s="756"/>
      <c r="P73" s="369"/>
      <c r="Q73" s="368"/>
    </row>
    <row r="74" spans="1:17" ht="12.75" customHeight="1">
      <c r="A74" s="368"/>
      <c r="B74" s="754"/>
      <c r="C74" s="755"/>
      <c r="D74" s="755"/>
      <c r="E74" s="755"/>
      <c r="F74" s="755"/>
      <c r="G74" s="755"/>
      <c r="H74" s="755"/>
      <c r="I74" s="755"/>
      <c r="J74" s="755"/>
      <c r="K74" s="755"/>
      <c r="L74" s="755"/>
      <c r="M74" s="755"/>
      <c r="N74" s="755"/>
      <c r="O74" s="756"/>
      <c r="P74" s="369"/>
      <c r="Q74" s="368"/>
    </row>
    <row r="75" spans="1:17" ht="12.75">
      <c r="A75" s="368"/>
      <c r="B75" s="447"/>
      <c r="C75" s="391"/>
      <c r="D75" s="391"/>
      <c r="E75" s="391"/>
      <c r="F75" s="391"/>
      <c r="G75" s="391"/>
      <c r="H75" s="391"/>
      <c r="I75" s="391"/>
      <c r="J75" s="391"/>
      <c r="K75" s="391"/>
      <c r="L75" s="392"/>
      <c r="M75" s="392"/>
      <c r="N75" s="392"/>
      <c r="O75" s="448"/>
      <c r="P75" s="369"/>
      <c r="Q75" s="368"/>
    </row>
    <row r="76" spans="1:17" ht="15.75">
      <c r="A76" s="393"/>
      <c r="B76" s="450" t="s">
        <v>153</v>
      </c>
      <c r="C76" s="391"/>
      <c r="D76" s="391"/>
      <c r="E76" s="391"/>
      <c r="F76" s="391"/>
      <c r="G76" s="391"/>
      <c r="H76" s="391"/>
      <c r="I76" s="391"/>
      <c r="J76" s="391"/>
      <c r="K76" s="391"/>
      <c r="L76" s="392"/>
      <c r="M76" s="392"/>
      <c r="N76" s="392"/>
      <c r="O76" s="448"/>
      <c r="P76" s="369"/>
      <c r="Q76" s="368"/>
    </row>
    <row r="77" spans="1:17" ht="13.5" thickBot="1">
      <c r="A77" s="368"/>
      <c r="B77" s="468"/>
      <c r="C77" s="391"/>
      <c r="D77" s="391"/>
      <c r="E77" s="391"/>
      <c r="F77" s="391"/>
      <c r="G77" s="391"/>
      <c r="H77" s="391"/>
      <c r="I77" s="391"/>
      <c r="J77" s="391"/>
      <c r="K77" s="391"/>
      <c r="L77" s="392"/>
      <c r="M77" s="392"/>
      <c r="N77" s="392"/>
      <c r="O77" s="448"/>
      <c r="P77" s="369"/>
      <c r="Q77" s="368"/>
    </row>
    <row r="78" spans="1:17" ht="15.75" thickBot="1">
      <c r="A78" s="368"/>
      <c r="B78" s="469"/>
      <c r="C78" s="729" t="s">
        <v>236</v>
      </c>
      <c r="D78" s="730"/>
      <c r="E78" s="731"/>
      <c r="F78" s="729" t="s">
        <v>237</v>
      </c>
      <c r="G78" s="730"/>
      <c r="H78" s="732"/>
      <c r="I78" s="729" t="s">
        <v>238</v>
      </c>
      <c r="J78" s="730"/>
      <c r="K78" s="732"/>
      <c r="L78" s="729" t="s">
        <v>239</v>
      </c>
      <c r="M78" s="730"/>
      <c r="N78" s="731"/>
      <c r="O78" s="470"/>
      <c r="P78" s="369"/>
      <c r="Q78" s="368"/>
    </row>
    <row r="79" spans="1:17" ht="15.75" thickBot="1">
      <c r="A79" s="368"/>
      <c r="B79" s="471" t="s">
        <v>244</v>
      </c>
      <c r="C79" s="394">
        <v>40634</v>
      </c>
      <c r="D79" s="394">
        <v>40664</v>
      </c>
      <c r="E79" s="394">
        <v>40695</v>
      </c>
      <c r="F79" s="394">
        <v>40725</v>
      </c>
      <c r="G79" s="394">
        <v>40756</v>
      </c>
      <c r="H79" s="394">
        <v>40787</v>
      </c>
      <c r="I79" s="394">
        <v>40817</v>
      </c>
      <c r="J79" s="394">
        <v>40848</v>
      </c>
      <c r="K79" s="394">
        <v>40878</v>
      </c>
      <c r="L79" s="394">
        <v>40909</v>
      </c>
      <c r="M79" s="394">
        <v>40940</v>
      </c>
      <c r="N79" s="394">
        <v>40969</v>
      </c>
      <c r="O79" s="472" t="s">
        <v>45</v>
      </c>
      <c r="P79" s="369"/>
      <c r="Q79" s="368"/>
    </row>
    <row r="80" spans="1:17" ht="14.25">
      <c r="A80" s="368"/>
      <c r="B80" s="473" t="s">
        <v>253</v>
      </c>
      <c r="C80" s="395">
        <v>750.51756</v>
      </c>
      <c r="D80" s="396">
        <v>631.807096</v>
      </c>
      <c r="E80" s="397">
        <v>461.048278</v>
      </c>
      <c r="F80" s="398"/>
      <c r="G80" s="399"/>
      <c r="H80" s="400"/>
      <c r="I80" s="398"/>
      <c r="J80" s="399"/>
      <c r="K80" s="400"/>
      <c r="L80" s="401"/>
      <c r="M80" s="402"/>
      <c r="N80" s="403"/>
      <c r="O80" s="474">
        <f>SUM(C80:N80)</f>
        <v>1843.372934</v>
      </c>
      <c r="P80" s="369"/>
      <c r="Q80" s="368"/>
    </row>
    <row r="81" spans="1:17" ht="14.25">
      <c r="A81" s="368"/>
      <c r="B81" s="473" t="s">
        <v>245</v>
      </c>
      <c r="C81" s="404">
        <f>C80</f>
        <v>750.51756</v>
      </c>
      <c r="D81" s="405">
        <f>+D80+C81</f>
        <v>1382.324656</v>
      </c>
      <c r="E81" s="406">
        <f>+E80+D81</f>
        <v>1843.372934</v>
      </c>
      <c r="F81" s="130">
        <f aca="true" t="shared" si="1" ref="F81:K81">IF(F80&gt;0,F80+E81,"")</f>
      </c>
      <c r="G81" s="131">
        <f t="shared" si="1"/>
      </c>
      <c r="H81" s="131">
        <f t="shared" si="1"/>
      </c>
      <c r="I81" s="130">
        <f t="shared" si="1"/>
      </c>
      <c r="J81" s="131">
        <f t="shared" si="1"/>
      </c>
      <c r="K81" s="131">
        <f t="shared" si="1"/>
      </c>
      <c r="L81" s="130">
        <f>IF(L80&gt;0,L80+K81,"")</f>
      </c>
      <c r="M81" s="131">
        <f>IF(M80&gt;0,M80+L81,"")</f>
      </c>
      <c r="N81" s="132">
        <f>IF(N80&gt;0,N80+M81,"")</f>
      </c>
      <c r="O81" s="475"/>
      <c r="P81" s="369"/>
      <c r="Q81" s="368"/>
    </row>
    <row r="82" spans="1:17" ht="14.25">
      <c r="A82" s="368"/>
      <c r="B82" s="473" t="s">
        <v>252</v>
      </c>
      <c r="C82" s="407"/>
      <c r="D82" s="408"/>
      <c r="E82" s="409">
        <v>1618.31807487161</v>
      </c>
      <c r="F82" s="407"/>
      <c r="G82" s="410"/>
      <c r="H82" s="411">
        <v>1252.733994</v>
      </c>
      <c r="I82" s="407"/>
      <c r="J82" s="410"/>
      <c r="K82" s="411">
        <v>1460.49154372404</v>
      </c>
      <c r="L82" s="407"/>
      <c r="M82" s="412"/>
      <c r="N82" s="411">
        <v>1403.86412796299</v>
      </c>
      <c r="O82" s="476">
        <f>E82+H82+K82+N82</f>
        <v>5735.4077405586395</v>
      </c>
      <c r="P82" s="369"/>
      <c r="Q82" s="368"/>
    </row>
    <row r="83" spans="1:17" ht="14.25">
      <c r="A83" s="368"/>
      <c r="B83" s="473" t="s">
        <v>254</v>
      </c>
      <c r="C83" s="413"/>
      <c r="D83" s="414"/>
      <c r="E83" s="415">
        <f>E82</f>
        <v>1618.31807487161</v>
      </c>
      <c r="F83" s="416"/>
      <c r="G83" s="417"/>
      <c r="H83" s="418">
        <f>H82+E83</f>
        <v>2871.0520688716097</v>
      </c>
      <c r="I83" s="416"/>
      <c r="J83" s="417"/>
      <c r="K83" s="418">
        <f>K82+H83</f>
        <v>4331.543612595649</v>
      </c>
      <c r="L83" s="416"/>
      <c r="M83" s="417"/>
      <c r="N83" s="418">
        <f>N82+K83</f>
        <v>5735.4077405586395</v>
      </c>
      <c r="O83" s="477"/>
      <c r="P83" s="369"/>
      <c r="Q83" s="368"/>
    </row>
    <row r="84" spans="1:17" ht="15" thickBot="1">
      <c r="A84" s="368"/>
      <c r="B84" s="473" t="s">
        <v>246</v>
      </c>
      <c r="C84" s="789">
        <v>57.4444852665873</v>
      </c>
      <c r="D84" s="790">
        <v>59.4539871188812</v>
      </c>
      <c r="E84" s="791">
        <v>61.2384075724022</v>
      </c>
      <c r="F84" s="792">
        <v>60.55185558412902</v>
      </c>
      <c r="G84" s="793">
        <v>60.19</v>
      </c>
      <c r="H84" s="794">
        <v>61.55</v>
      </c>
      <c r="I84" s="792">
        <v>58.35</v>
      </c>
      <c r="J84" s="793">
        <v>58.35</v>
      </c>
      <c r="K84" s="794">
        <v>58.35</v>
      </c>
      <c r="L84" s="792">
        <v>58.35</v>
      </c>
      <c r="M84" s="793">
        <v>58.35</v>
      </c>
      <c r="N84" s="794">
        <v>58.35</v>
      </c>
      <c r="O84" s="477"/>
      <c r="P84" s="369"/>
      <c r="Q84" s="368"/>
    </row>
    <row r="85" spans="1:17" ht="12.75">
      <c r="A85" s="368"/>
      <c r="B85" s="795"/>
      <c r="C85" s="796"/>
      <c r="D85" s="796"/>
      <c r="E85" s="797">
        <f>SUMPRODUCT(C80:E80,C84:E84)/E81</f>
        <v>59.08213482733873</v>
      </c>
      <c r="F85" s="796"/>
      <c r="G85" s="796"/>
      <c r="H85" s="796"/>
      <c r="I85" s="796"/>
      <c r="J85" s="796"/>
      <c r="K85" s="796"/>
      <c r="L85" s="798"/>
      <c r="M85" s="798"/>
      <c r="N85" s="798"/>
      <c r="O85" s="799"/>
      <c r="P85" s="369"/>
      <c r="Q85" s="368"/>
    </row>
    <row r="86" spans="1:20" ht="12.75">
      <c r="A86" s="368"/>
      <c r="B86" s="478" t="s">
        <v>243</v>
      </c>
      <c r="C86" s="391"/>
      <c r="D86" s="391"/>
      <c r="E86" s="391"/>
      <c r="F86" s="391"/>
      <c r="G86" s="391"/>
      <c r="H86" s="391"/>
      <c r="I86" s="391"/>
      <c r="J86" s="391"/>
      <c r="K86" s="391"/>
      <c r="L86" s="392"/>
      <c r="M86" s="392"/>
      <c r="N86" s="392"/>
      <c r="O86" s="479"/>
      <c r="P86" s="369"/>
      <c r="Q86" s="419"/>
      <c r="R86" s="419"/>
      <c r="S86" s="419"/>
      <c r="T86" s="419"/>
    </row>
    <row r="87" spans="1:17" ht="12.75">
      <c r="A87" s="368"/>
      <c r="B87" s="463"/>
      <c r="C87" s="435"/>
      <c r="D87" s="435"/>
      <c r="E87" s="435"/>
      <c r="F87" s="435"/>
      <c r="G87" s="435"/>
      <c r="H87" s="435"/>
      <c r="I87" s="435"/>
      <c r="J87" s="435"/>
      <c r="K87" s="435"/>
      <c r="L87" s="435"/>
      <c r="M87" s="435"/>
      <c r="N87" s="435"/>
      <c r="O87" s="464"/>
      <c r="P87" s="368"/>
      <c r="Q87" s="368"/>
    </row>
    <row r="88" spans="2:15" ht="12.75">
      <c r="B88" s="463"/>
      <c r="C88" s="435"/>
      <c r="D88" s="435"/>
      <c r="E88" s="435"/>
      <c r="F88" s="435"/>
      <c r="G88" s="435"/>
      <c r="H88" s="435"/>
      <c r="I88" s="435"/>
      <c r="J88" s="435"/>
      <c r="K88" s="435"/>
      <c r="L88" s="435"/>
      <c r="M88" s="435"/>
      <c r="N88" s="435"/>
      <c r="O88" s="464"/>
    </row>
    <row r="89" spans="2:15" ht="12.75">
      <c r="B89" s="463"/>
      <c r="C89" s="435"/>
      <c r="D89" s="435"/>
      <c r="E89" s="435"/>
      <c r="F89" s="435"/>
      <c r="G89" s="435"/>
      <c r="H89" s="435"/>
      <c r="I89" s="435"/>
      <c r="J89" s="435"/>
      <c r="K89" s="435"/>
      <c r="L89" s="435"/>
      <c r="M89" s="435"/>
      <c r="N89" s="435"/>
      <c r="O89" s="464"/>
    </row>
    <row r="90" spans="2:15" ht="12.75">
      <c r="B90" s="463"/>
      <c r="C90" s="435"/>
      <c r="D90" s="435"/>
      <c r="E90" s="435"/>
      <c r="F90" s="435"/>
      <c r="G90" s="435"/>
      <c r="H90" s="435"/>
      <c r="I90" s="435"/>
      <c r="J90" s="435"/>
      <c r="K90" s="435"/>
      <c r="L90" s="435"/>
      <c r="M90" s="435"/>
      <c r="N90" s="435"/>
      <c r="O90" s="464"/>
    </row>
    <row r="91" spans="2:15" ht="12.75">
      <c r="B91" s="463"/>
      <c r="C91" s="435"/>
      <c r="D91" s="435"/>
      <c r="E91" s="435"/>
      <c r="F91" s="435"/>
      <c r="G91" s="435"/>
      <c r="H91" s="435"/>
      <c r="I91" s="435"/>
      <c r="J91" s="435"/>
      <c r="K91" s="435"/>
      <c r="L91" s="435"/>
      <c r="M91" s="435"/>
      <c r="N91" s="435"/>
      <c r="O91" s="464"/>
    </row>
    <row r="92" spans="2:15" ht="12.75">
      <c r="B92" s="463"/>
      <c r="C92" s="435"/>
      <c r="D92" s="435"/>
      <c r="E92" s="435"/>
      <c r="F92" s="435"/>
      <c r="G92" s="435"/>
      <c r="H92" s="435"/>
      <c r="I92" s="435"/>
      <c r="J92" s="435"/>
      <c r="K92" s="435"/>
      <c r="L92" s="435"/>
      <c r="M92" s="435"/>
      <c r="N92" s="435"/>
      <c r="O92" s="464"/>
    </row>
    <row r="93" spans="2:15" ht="12.75">
      <c r="B93" s="463"/>
      <c r="C93" s="435"/>
      <c r="D93" s="435"/>
      <c r="E93" s="435"/>
      <c r="F93" s="435"/>
      <c r="G93" s="435"/>
      <c r="H93" s="435"/>
      <c r="I93" s="435"/>
      <c r="J93" s="435"/>
      <c r="K93" s="435"/>
      <c r="L93" s="435"/>
      <c r="M93" s="435"/>
      <c r="N93" s="435"/>
      <c r="O93" s="464"/>
    </row>
    <row r="94" spans="1:17" ht="12.75">
      <c r="A94" s="368"/>
      <c r="B94" s="463"/>
      <c r="C94" s="435"/>
      <c r="D94" s="435"/>
      <c r="E94" s="435"/>
      <c r="F94" s="435"/>
      <c r="G94" s="435"/>
      <c r="H94" s="435"/>
      <c r="I94" s="435"/>
      <c r="J94" s="435"/>
      <c r="K94" s="435"/>
      <c r="L94" s="435"/>
      <c r="M94" s="435"/>
      <c r="N94" s="435"/>
      <c r="O94" s="464"/>
      <c r="P94" s="369"/>
      <c r="Q94" s="368"/>
    </row>
    <row r="95" spans="1:17" ht="12.75">
      <c r="A95" s="368"/>
      <c r="B95" s="463"/>
      <c r="C95" s="435"/>
      <c r="D95" s="435"/>
      <c r="E95" s="435"/>
      <c r="F95" s="435"/>
      <c r="G95" s="435"/>
      <c r="H95" s="435"/>
      <c r="I95" s="435"/>
      <c r="J95" s="435"/>
      <c r="K95" s="435"/>
      <c r="L95" s="435"/>
      <c r="M95" s="435"/>
      <c r="N95" s="435"/>
      <c r="O95" s="464"/>
      <c r="P95" s="369"/>
      <c r="Q95" s="368"/>
    </row>
    <row r="96" spans="1:17" ht="12.75">
      <c r="A96" s="368"/>
      <c r="B96" s="463"/>
      <c r="C96" s="435"/>
      <c r="D96" s="435"/>
      <c r="E96" s="435"/>
      <c r="F96" s="435"/>
      <c r="G96" s="435"/>
      <c r="H96" s="435"/>
      <c r="I96" s="435"/>
      <c r="J96" s="435"/>
      <c r="K96" s="435"/>
      <c r="L96" s="435"/>
      <c r="M96" s="435"/>
      <c r="N96" s="435"/>
      <c r="O96" s="464"/>
      <c r="P96" s="369"/>
      <c r="Q96" s="368"/>
    </row>
    <row r="97" spans="1:17" ht="12.75">
      <c r="A97" s="368"/>
      <c r="B97" s="463"/>
      <c r="C97" s="435"/>
      <c r="D97" s="435"/>
      <c r="E97" s="435"/>
      <c r="F97" s="435"/>
      <c r="G97" s="435"/>
      <c r="H97" s="435"/>
      <c r="I97" s="435"/>
      <c r="J97" s="435"/>
      <c r="K97" s="435"/>
      <c r="L97" s="435"/>
      <c r="M97" s="435"/>
      <c r="N97" s="435"/>
      <c r="O97" s="464"/>
      <c r="P97" s="369"/>
      <c r="Q97" s="368"/>
    </row>
    <row r="98" spans="1:17" ht="12.75">
      <c r="A98" s="368"/>
      <c r="B98" s="463"/>
      <c r="C98" s="435"/>
      <c r="D98" s="435"/>
      <c r="E98" s="435"/>
      <c r="F98" s="435"/>
      <c r="G98" s="435"/>
      <c r="H98" s="435"/>
      <c r="I98" s="435"/>
      <c r="J98" s="435"/>
      <c r="K98" s="435"/>
      <c r="L98" s="435"/>
      <c r="M98" s="435"/>
      <c r="N98" s="435"/>
      <c r="O98" s="464"/>
      <c r="P98" s="369"/>
      <c r="Q98" s="368"/>
    </row>
    <row r="99" spans="1:17" ht="12.75">
      <c r="A99" s="368"/>
      <c r="B99" s="463"/>
      <c r="C99" s="435"/>
      <c r="D99" s="435"/>
      <c r="E99" s="435"/>
      <c r="F99" s="435"/>
      <c r="G99" s="435"/>
      <c r="H99" s="435"/>
      <c r="I99" s="435"/>
      <c r="J99" s="435"/>
      <c r="K99" s="435"/>
      <c r="L99" s="435"/>
      <c r="M99" s="435"/>
      <c r="N99" s="435"/>
      <c r="O99" s="464"/>
      <c r="P99" s="369"/>
      <c r="Q99" s="368"/>
    </row>
    <row r="100" spans="1:17" ht="12.75">
      <c r="A100" s="368"/>
      <c r="B100" s="463"/>
      <c r="C100" s="435"/>
      <c r="D100" s="435"/>
      <c r="E100" s="435"/>
      <c r="F100" s="435"/>
      <c r="G100" s="435"/>
      <c r="H100" s="435"/>
      <c r="I100" s="435"/>
      <c r="J100" s="435"/>
      <c r="K100" s="435"/>
      <c r="L100" s="435"/>
      <c r="M100" s="435"/>
      <c r="N100" s="435"/>
      <c r="O100" s="464"/>
      <c r="P100" s="369"/>
      <c r="Q100" s="368"/>
    </row>
    <row r="101" spans="1:17" ht="12.75">
      <c r="A101" s="368"/>
      <c r="B101" s="463"/>
      <c r="C101" s="435"/>
      <c r="D101" s="435"/>
      <c r="E101" s="435"/>
      <c r="F101" s="435"/>
      <c r="G101" s="435"/>
      <c r="H101" s="435"/>
      <c r="I101" s="435"/>
      <c r="J101" s="435"/>
      <c r="K101" s="435"/>
      <c r="L101" s="435"/>
      <c r="M101" s="435"/>
      <c r="N101" s="435"/>
      <c r="O101" s="464"/>
      <c r="P101" s="369"/>
      <c r="Q101" s="368"/>
    </row>
    <row r="102" spans="1:17" ht="12.75">
      <c r="A102" s="368"/>
      <c r="B102" s="463"/>
      <c r="C102" s="435"/>
      <c r="D102" s="435"/>
      <c r="E102" s="435"/>
      <c r="F102" s="435"/>
      <c r="G102" s="435"/>
      <c r="H102" s="435"/>
      <c r="I102" s="435"/>
      <c r="J102" s="435"/>
      <c r="K102" s="435"/>
      <c r="L102" s="435"/>
      <c r="M102" s="435"/>
      <c r="N102" s="435"/>
      <c r="O102" s="464"/>
      <c r="P102" s="369"/>
      <c r="Q102" s="368"/>
    </row>
    <row r="103" spans="1:17" ht="12.75">
      <c r="A103" s="368"/>
      <c r="B103" s="463"/>
      <c r="C103" s="435"/>
      <c r="D103" s="435"/>
      <c r="E103" s="435"/>
      <c r="F103" s="435"/>
      <c r="G103" s="435"/>
      <c r="H103" s="435"/>
      <c r="I103" s="435"/>
      <c r="J103" s="435"/>
      <c r="K103" s="435"/>
      <c r="L103" s="435"/>
      <c r="M103" s="435"/>
      <c r="N103" s="435"/>
      <c r="O103" s="464"/>
      <c r="P103" s="369"/>
      <c r="Q103" s="368"/>
    </row>
    <row r="104" spans="2:15" ht="12.75">
      <c r="B104" s="463"/>
      <c r="C104" s="435"/>
      <c r="D104" s="435"/>
      <c r="E104" s="435"/>
      <c r="F104" s="435"/>
      <c r="G104" s="435"/>
      <c r="H104" s="435"/>
      <c r="I104" s="435"/>
      <c r="J104" s="435"/>
      <c r="K104" s="435"/>
      <c r="L104" s="435"/>
      <c r="M104" s="435"/>
      <c r="N104" s="435"/>
      <c r="O104" s="464"/>
    </row>
    <row r="105" spans="1:17" ht="12.75">
      <c r="A105" s="368"/>
      <c r="B105" s="463"/>
      <c r="C105" s="435"/>
      <c r="D105" s="435"/>
      <c r="E105" s="435"/>
      <c r="F105" s="435"/>
      <c r="G105" s="435"/>
      <c r="H105" s="435"/>
      <c r="I105" s="435"/>
      <c r="J105" s="435"/>
      <c r="K105" s="435"/>
      <c r="L105" s="435"/>
      <c r="M105" s="435"/>
      <c r="N105" s="435"/>
      <c r="O105" s="464"/>
      <c r="P105" s="368"/>
      <c r="Q105" s="368"/>
    </row>
    <row r="106" spans="1:17" ht="12.75">
      <c r="A106" s="368"/>
      <c r="B106" s="463"/>
      <c r="C106" s="435"/>
      <c r="D106" s="435"/>
      <c r="E106" s="435"/>
      <c r="F106" s="435"/>
      <c r="G106" s="435"/>
      <c r="H106" s="435"/>
      <c r="I106" s="435"/>
      <c r="J106" s="435"/>
      <c r="K106" s="435"/>
      <c r="L106" s="435"/>
      <c r="M106" s="435"/>
      <c r="N106" s="435"/>
      <c r="O106" s="464"/>
      <c r="P106" s="368"/>
      <c r="Q106" s="368"/>
    </row>
    <row r="107" spans="1:17" ht="12.75">
      <c r="A107" s="368"/>
      <c r="B107" s="463"/>
      <c r="C107" s="435"/>
      <c r="D107" s="435"/>
      <c r="E107" s="435"/>
      <c r="F107" s="435"/>
      <c r="G107" s="435"/>
      <c r="H107" s="435"/>
      <c r="I107" s="435"/>
      <c r="J107" s="435"/>
      <c r="K107" s="435"/>
      <c r="L107" s="435"/>
      <c r="M107" s="435"/>
      <c r="N107" s="435"/>
      <c r="O107" s="464"/>
      <c r="P107" s="368"/>
      <c r="Q107" s="368"/>
    </row>
    <row r="108" spans="1:17" ht="13.5" thickBot="1">
      <c r="A108" s="393"/>
      <c r="B108" s="463"/>
      <c r="C108" s="435"/>
      <c r="D108" s="435"/>
      <c r="E108" s="435"/>
      <c r="F108" s="435"/>
      <c r="G108" s="435"/>
      <c r="H108" s="435"/>
      <c r="I108" s="435"/>
      <c r="J108" s="435"/>
      <c r="K108" s="435"/>
      <c r="L108" s="435"/>
      <c r="M108" s="435"/>
      <c r="N108" s="435"/>
      <c r="O108" s="464"/>
      <c r="P108" s="368"/>
      <c r="Q108" s="368"/>
    </row>
    <row r="109" spans="1:17" ht="15.75" thickBot="1">
      <c r="A109" s="368"/>
      <c r="B109" s="469"/>
      <c r="C109" s="729" t="s">
        <v>236</v>
      </c>
      <c r="D109" s="730"/>
      <c r="E109" s="731"/>
      <c r="F109" s="729" t="s">
        <v>237</v>
      </c>
      <c r="G109" s="730"/>
      <c r="H109" s="732"/>
      <c r="I109" s="729" t="s">
        <v>238</v>
      </c>
      <c r="J109" s="730"/>
      <c r="K109" s="732"/>
      <c r="L109" s="729" t="s">
        <v>239</v>
      </c>
      <c r="M109" s="730"/>
      <c r="N109" s="731"/>
      <c r="O109" s="470"/>
      <c r="P109" s="368"/>
      <c r="Q109" s="368"/>
    </row>
    <row r="110" spans="1:17" ht="15.75" thickBot="1">
      <c r="A110" s="368"/>
      <c r="B110" s="471" t="s">
        <v>247</v>
      </c>
      <c r="C110" s="394">
        <v>40634</v>
      </c>
      <c r="D110" s="394">
        <v>40664</v>
      </c>
      <c r="E110" s="394">
        <v>40695</v>
      </c>
      <c r="F110" s="394">
        <v>40725</v>
      </c>
      <c r="G110" s="394">
        <v>40756</v>
      </c>
      <c r="H110" s="394">
        <v>40787</v>
      </c>
      <c r="I110" s="394">
        <v>40817</v>
      </c>
      <c r="J110" s="394">
        <v>40848</v>
      </c>
      <c r="K110" s="394">
        <v>40878</v>
      </c>
      <c r="L110" s="394">
        <v>40909</v>
      </c>
      <c r="M110" s="394">
        <v>40940</v>
      </c>
      <c r="N110" s="394">
        <v>40969</v>
      </c>
      <c r="O110" s="472" t="s">
        <v>45</v>
      </c>
      <c r="P110" s="369"/>
      <c r="Q110" s="368"/>
    </row>
    <row r="111" spans="1:17" ht="14.25">
      <c r="A111" s="368"/>
      <c r="B111" s="473" t="s">
        <v>2</v>
      </c>
      <c r="C111" s="420">
        <v>1.5262585</v>
      </c>
      <c r="D111" s="421">
        <v>1.5173532000000007</v>
      </c>
      <c r="E111" s="422">
        <v>1.7104983</v>
      </c>
      <c r="F111" s="401"/>
      <c r="G111" s="402"/>
      <c r="H111" s="403"/>
      <c r="I111" s="401"/>
      <c r="J111" s="402"/>
      <c r="K111" s="403"/>
      <c r="L111" s="401"/>
      <c r="M111" s="402"/>
      <c r="N111" s="403"/>
      <c r="O111" s="480">
        <f>SUM(C111:N111)</f>
        <v>4.754110000000001</v>
      </c>
      <c r="P111" s="369"/>
      <c r="Q111" s="368"/>
    </row>
    <row r="112" spans="1:17" ht="14.25">
      <c r="A112" s="368"/>
      <c r="B112" s="473" t="s">
        <v>3</v>
      </c>
      <c r="C112" s="423">
        <f>C111</f>
        <v>1.5262585</v>
      </c>
      <c r="D112" s="424">
        <f>+D111+C112</f>
        <v>3.0436117000000005</v>
      </c>
      <c r="E112" s="425">
        <f>+E111+D112</f>
        <v>4.754110000000001</v>
      </c>
      <c r="F112" s="130">
        <f>IF(F111&gt;0,F111+E112,"")</f>
      </c>
      <c r="G112" s="426">
        <f>IF(G111&gt;0,G111+F112,"")</f>
      </c>
      <c r="H112" s="426">
        <f>IF(H111&gt;0,H111+G112,"")</f>
      </c>
      <c r="I112" s="427">
        <f aca="true" t="shared" si="2" ref="I112:N112">IF(I111&gt;0,I111+H112,"")</f>
      </c>
      <c r="J112" s="428">
        <f t="shared" si="2"/>
      </c>
      <c r="K112" s="429">
        <f t="shared" si="2"/>
      </c>
      <c r="L112" s="427">
        <f t="shared" si="2"/>
      </c>
      <c r="M112" s="428">
        <f t="shared" si="2"/>
      </c>
      <c r="N112" s="429">
        <f t="shared" si="2"/>
      </c>
      <c r="O112" s="481"/>
      <c r="P112" s="369"/>
      <c r="Q112" s="368"/>
    </row>
    <row r="113" spans="1:17" ht="14.25">
      <c r="A113" s="368"/>
      <c r="B113" s="473" t="s">
        <v>255</v>
      </c>
      <c r="C113" s="407"/>
      <c r="D113" s="408"/>
      <c r="E113" s="430">
        <v>28.513770042796</v>
      </c>
      <c r="F113" s="407"/>
      <c r="G113" s="410"/>
      <c r="H113" s="431">
        <v>0</v>
      </c>
      <c r="I113" s="407"/>
      <c r="J113" s="412"/>
      <c r="K113" s="431">
        <v>98.616796202322</v>
      </c>
      <c r="L113" s="407"/>
      <c r="M113" s="412"/>
      <c r="N113" s="431">
        <v>114.055036937108</v>
      </c>
      <c r="O113" s="482">
        <f>E113+H113+K113+N113</f>
        <v>241.185603182226</v>
      </c>
      <c r="P113" s="369"/>
      <c r="Q113" s="368"/>
    </row>
    <row r="114" spans="1:17" ht="14.25">
      <c r="A114" s="368"/>
      <c r="B114" s="473" t="s">
        <v>254</v>
      </c>
      <c r="C114" s="416"/>
      <c r="D114" s="432"/>
      <c r="E114" s="433">
        <f>E113</f>
        <v>28.513770042796</v>
      </c>
      <c r="F114" s="416"/>
      <c r="G114" s="417"/>
      <c r="H114" s="434">
        <f>H113+E114</f>
        <v>28.513770042796</v>
      </c>
      <c r="I114" s="416"/>
      <c r="J114" s="417"/>
      <c r="K114" s="434">
        <f>K113+H114</f>
        <v>127.130566245118</v>
      </c>
      <c r="L114" s="416"/>
      <c r="M114" s="417"/>
      <c r="N114" s="434">
        <f>N113+K114</f>
        <v>241.185603182226</v>
      </c>
      <c r="O114" s="477"/>
      <c r="P114" s="369"/>
      <c r="Q114" s="368"/>
    </row>
    <row r="115" spans="1:17" ht="15" thickBot="1">
      <c r="A115" s="368"/>
      <c r="B115" s="473" t="s">
        <v>248</v>
      </c>
      <c r="C115" s="789">
        <v>56.540186344580555</v>
      </c>
      <c r="D115" s="790">
        <v>55.65319521555863</v>
      </c>
      <c r="E115" s="791">
        <v>62.1355133764237</v>
      </c>
      <c r="F115" s="800"/>
      <c r="G115" s="801"/>
      <c r="H115" s="802"/>
      <c r="I115" s="800"/>
      <c r="J115" s="801"/>
      <c r="K115" s="802"/>
      <c r="L115" s="800"/>
      <c r="M115" s="801"/>
      <c r="N115" s="802"/>
      <c r="O115" s="477"/>
      <c r="P115" s="369"/>
      <c r="Q115" s="368"/>
    </row>
    <row r="116" spans="1:20" ht="12.75">
      <c r="A116" s="368"/>
      <c r="B116" s="803"/>
      <c r="C116" s="804"/>
      <c r="D116" s="804"/>
      <c r="E116" s="804"/>
      <c r="F116" s="804"/>
      <c r="G116" s="804"/>
      <c r="H116" s="804"/>
      <c r="I116" s="804"/>
      <c r="J116" s="804"/>
      <c r="K116" s="804"/>
      <c r="L116" s="804"/>
      <c r="M116" s="804"/>
      <c r="N116" s="804"/>
      <c r="O116" s="805"/>
      <c r="P116" s="369"/>
      <c r="Q116" s="419"/>
      <c r="R116" s="419"/>
      <c r="S116" s="419"/>
      <c r="T116" s="419"/>
    </row>
    <row r="117" spans="1:17" ht="12.75">
      <c r="A117" s="368"/>
      <c r="B117" s="463"/>
      <c r="C117" s="435"/>
      <c r="D117" s="435"/>
      <c r="E117" s="435"/>
      <c r="F117" s="435"/>
      <c r="G117" s="435"/>
      <c r="H117" s="435"/>
      <c r="I117" s="435"/>
      <c r="J117" s="435"/>
      <c r="K117" s="435"/>
      <c r="L117" s="435"/>
      <c r="M117" s="435"/>
      <c r="N117" s="435"/>
      <c r="O117" s="464"/>
      <c r="P117" s="369"/>
      <c r="Q117" s="368"/>
    </row>
    <row r="118" spans="2:15" ht="12.75">
      <c r="B118" s="463"/>
      <c r="C118" s="435"/>
      <c r="D118" s="435"/>
      <c r="E118" s="435"/>
      <c r="F118" s="435"/>
      <c r="G118" s="435"/>
      <c r="H118" s="435"/>
      <c r="I118" s="435"/>
      <c r="J118" s="435"/>
      <c r="K118" s="435"/>
      <c r="L118" s="435"/>
      <c r="M118" s="435"/>
      <c r="N118" s="435"/>
      <c r="O118" s="464"/>
    </row>
    <row r="119" spans="2:15" ht="12.75">
      <c r="B119" s="463"/>
      <c r="C119" s="435"/>
      <c r="D119" s="435"/>
      <c r="E119" s="435"/>
      <c r="F119" s="435"/>
      <c r="G119" s="435"/>
      <c r="H119" s="435"/>
      <c r="I119" s="435"/>
      <c r="J119" s="435"/>
      <c r="K119" s="435"/>
      <c r="L119" s="435"/>
      <c r="M119" s="435"/>
      <c r="N119" s="435"/>
      <c r="O119" s="464"/>
    </row>
    <row r="120" spans="2:15" ht="12.75">
      <c r="B120" s="463"/>
      <c r="C120" s="435"/>
      <c r="D120" s="435"/>
      <c r="E120" s="435"/>
      <c r="F120" s="435"/>
      <c r="G120" s="435"/>
      <c r="H120" s="435"/>
      <c r="I120" s="435"/>
      <c r="J120" s="435"/>
      <c r="K120" s="435"/>
      <c r="L120" s="435"/>
      <c r="M120" s="435"/>
      <c r="N120" s="435"/>
      <c r="O120" s="464"/>
    </row>
    <row r="121" spans="2:15" ht="12.75">
      <c r="B121" s="463"/>
      <c r="C121" s="435"/>
      <c r="D121" s="435"/>
      <c r="E121" s="435"/>
      <c r="F121" s="435"/>
      <c r="G121" s="435"/>
      <c r="H121" s="435"/>
      <c r="I121" s="435"/>
      <c r="J121" s="435"/>
      <c r="K121" s="435"/>
      <c r="L121" s="435"/>
      <c r="M121" s="435"/>
      <c r="N121" s="435"/>
      <c r="O121" s="464"/>
    </row>
    <row r="122" spans="2:15" ht="12.75">
      <c r="B122" s="463"/>
      <c r="C122" s="435"/>
      <c r="D122" s="435"/>
      <c r="E122" s="435"/>
      <c r="F122" s="435"/>
      <c r="G122" s="435"/>
      <c r="H122" s="435"/>
      <c r="I122" s="435"/>
      <c r="J122" s="435"/>
      <c r="K122" s="435"/>
      <c r="L122" s="435"/>
      <c r="M122" s="435"/>
      <c r="N122" s="435"/>
      <c r="O122" s="464"/>
    </row>
    <row r="123" spans="2:15" ht="12.75">
      <c r="B123" s="463"/>
      <c r="C123" s="435"/>
      <c r="D123" s="435"/>
      <c r="E123" s="435"/>
      <c r="F123" s="435"/>
      <c r="G123" s="435"/>
      <c r="H123" s="435"/>
      <c r="I123" s="435"/>
      <c r="J123" s="435"/>
      <c r="K123" s="435"/>
      <c r="L123" s="435"/>
      <c r="M123" s="435"/>
      <c r="N123" s="435"/>
      <c r="O123" s="464"/>
    </row>
    <row r="124" spans="2:15" ht="12.75">
      <c r="B124" s="463"/>
      <c r="C124" s="435"/>
      <c r="D124" s="435"/>
      <c r="E124" s="435"/>
      <c r="F124" s="435"/>
      <c r="G124" s="435"/>
      <c r="H124" s="435"/>
      <c r="I124" s="435"/>
      <c r="J124" s="435"/>
      <c r="K124" s="435"/>
      <c r="L124" s="435"/>
      <c r="M124" s="435"/>
      <c r="N124" s="435"/>
      <c r="O124" s="464"/>
    </row>
    <row r="125" spans="2:15" ht="12.75">
      <c r="B125" s="463"/>
      <c r="C125" s="435"/>
      <c r="D125" s="435"/>
      <c r="E125" s="435"/>
      <c r="F125" s="435"/>
      <c r="G125" s="435"/>
      <c r="H125" s="435"/>
      <c r="I125" s="435"/>
      <c r="J125" s="435"/>
      <c r="K125" s="435"/>
      <c r="L125" s="435"/>
      <c r="M125" s="435"/>
      <c r="N125" s="435"/>
      <c r="O125" s="464"/>
    </row>
    <row r="126" spans="2:15" ht="12.75">
      <c r="B126" s="463"/>
      <c r="C126" s="435"/>
      <c r="D126" s="435"/>
      <c r="E126" s="435"/>
      <c r="F126" s="435"/>
      <c r="G126" s="435"/>
      <c r="H126" s="435"/>
      <c r="I126" s="435"/>
      <c r="J126" s="435"/>
      <c r="K126" s="435"/>
      <c r="L126" s="435"/>
      <c r="M126" s="435"/>
      <c r="N126" s="435"/>
      <c r="O126" s="464"/>
    </row>
    <row r="127" spans="2:15" ht="12.75">
      <c r="B127" s="463"/>
      <c r="C127" s="435"/>
      <c r="D127" s="435"/>
      <c r="E127" s="435"/>
      <c r="F127" s="435"/>
      <c r="G127" s="435"/>
      <c r="H127" s="435"/>
      <c r="I127" s="435"/>
      <c r="J127" s="435"/>
      <c r="K127" s="435"/>
      <c r="L127" s="435"/>
      <c r="M127" s="435"/>
      <c r="N127" s="435"/>
      <c r="O127" s="464"/>
    </row>
    <row r="128" spans="1:15" ht="12.75">
      <c r="A128" s="435"/>
      <c r="B128" s="463"/>
      <c r="C128" s="435"/>
      <c r="D128" s="435"/>
      <c r="E128" s="435"/>
      <c r="F128" s="435"/>
      <c r="G128" s="435"/>
      <c r="H128" s="435"/>
      <c r="I128" s="435"/>
      <c r="J128" s="435"/>
      <c r="K128" s="435"/>
      <c r="L128" s="435"/>
      <c r="M128" s="435"/>
      <c r="N128" s="435"/>
      <c r="O128" s="464"/>
    </row>
    <row r="129" spans="1:15" ht="12.75">
      <c r="A129" s="435"/>
      <c r="B129" s="463"/>
      <c r="C129" s="435"/>
      <c r="D129" s="435"/>
      <c r="E129" s="435"/>
      <c r="F129" s="435"/>
      <c r="G129" s="435"/>
      <c r="H129" s="435"/>
      <c r="I129" s="435"/>
      <c r="J129" s="435"/>
      <c r="K129" s="435"/>
      <c r="L129" s="435"/>
      <c r="M129" s="435"/>
      <c r="N129" s="435"/>
      <c r="O129" s="464"/>
    </row>
    <row r="130" spans="1:15" ht="12.75">
      <c r="A130" s="435"/>
      <c r="B130" s="463"/>
      <c r="C130" s="435"/>
      <c r="D130" s="435"/>
      <c r="E130" s="435"/>
      <c r="F130" s="435"/>
      <c r="G130" s="435"/>
      <c r="H130" s="435"/>
      <c r="I130" s="435"/>
      <c r="J130" s="435"/>
      <c r="K130" s="435"/>
      <c r="L130" s="435"/>
      <c r="M130" s="435"/>
      <c r="N130" s="435"/>
      <c r="O130" s="464"/>
    </row>
    <row r="131" spans="1:15" ht="12.75">
      <c r="A131" s="435"/>
      <c r="B131" s="463"/>
      <c r="C131" s="435"/>
      <c r="D131" s="435"/>
      <c r="E131" s="435"/>
      <c r="F131" s="435"/>
      <c r="G131" s="435"/>
      <c r="H131" s="435"/>
      <c r="I131" s="435"/>
      <c r="J131" s="435"/>
      <c r="K131" s="435"/>
      <c r="L131" s="435"/>
      <c r="M131" s="435"/>
      <c r="N131" s="435"/>
      <c r="O131" s="464"/>
    </row>
    <row r="132" spans="1:15" ht="12.75">
      <c r="A132" s="435"/>
      <c r="B132" s="463"/>
      <c r="C132" s="435"/>
      <c r="D132" s="435"/>
      <c r="E132" s="435"/>
      <c r="F132" s="435"/>
      <c r="G132" s="435"/>
      <c r="H132" s="435"/>
      <c r="I132" s="435"/>
      <c r="J132" s="435"/>
      <c r="K132" s="435"/>
      <c r="L132" s="435"/>
      <c r="M132" s="435"/>
      <c r="N132" s="435"/>
      <c r="O132" s="464"/>
    </row>
    <row r="133" spans="1:15" ht="12.75">
      <c r="A133" s="435"/>
      <c r="B133" s="463"/>
      <c r="C133" s="435"/>
      <c r="D133" s="435"/>
      <c r="E133" s="435"/>
      <c r="F133" s="435"/>
      <c r="G133" s="435"/>
      <c r="H133" s="435"/>
      <c r="I133" s="435"/>
      <c r="J133" s="435"/>
      <c r="K133" s="435"/>
      <c r="L133" s="435"/>
      <c r="M133" s="435"/>
      <c r="N133" s="435"/>
      <c r="O133" s="464"/>
    </row>
    <row r="134" spans="1:15" ht="12.75">
      <c r="A134" s="435"/>
      <c r="B134" s="463"/>
      <c r="C134" s="435"/>
      <c r="D134" s="435"/>
      <c r="E134" s="435"/>
      <c r="F134" s="435"/>
      <c r="G134" s="435"/>
      <c r="H134" s="435"/>
      <c r="I134" s="435"/>
      <c r="J134" s="435"/>
      <c r="K134" s="435"/>
      <c r="L134" s="435"/>
      <c r="M134" s="435"/>
      <c r="N134" s="435"/>
      <c r="O134" s="464"/>
    </row>
    <row r="135" spans="2:15" ht="12.75">
      <c r="B135" s="463"/>
      <c r="C135" s="435"/>
      <c r="D135" s="435"/>
      <c r="E135" s="435"/>
      <c r="F135" s="435"/>
      <c r="G135" s="435"/>
      <c r="H135" s="435"/>
      <c r="I135" s="435"/>
      <c r="J135" s="435"/>
      <c r="K135" s="435"/>
      <c r="L135" s="435"/>
      <c r="M135" s="435"/>
      <c r="N135" s="435"/>
      <c r="O135" s="464"/>
    </row>
    <row r="136" spans="2:15" ht="12.75">
      <c r="B136" s="463"/>
      <c r="C136" s="435"/>
      <c r="D136" s="435"/>
      <c r="E136" s="435"/>
      <c r="F136" s="435"/>
      <c r="G136" s="435"/>
      <c r="H136" s="435"/>
      <c r="I136" s="435"/>
      <c r="J136" s="435"/>
      <c r="K136" s="435"/>
      <c r="L136" s="435"/>
      <c r="M136" s="435"/>
      <c r="N136" s="435"/>
      <c r="O136" s="464"/>
    </row>
    <row r="137" spans="2:15" ht="12.75">
      <c r="B137" s="463"/>
      <c r="C137" s="435"/>
      <c r="D137" s="435"/>
      <c r="E137" s="435"/>
      <c r="F137" s="435"/>
      <c r="G137" s="435"/>
      <c r="H137" s="435"/>
      <c r="I137" s="435"/>
      <c r="J137" s="435"/>
      <c r="K137" s="435"/>
      <c r="L137" s="435"/>
      <c r="M137" s="435"/>
      <c r="N137" s="435"/>
      <c r="O137" s="464"/>
    </row>
    <row r="138" spans="2:15" ht="12.75">
      <c r="B138" s="463"/>
      <c r="C138" s="435"/>
      <c r="D138" s="435"/>
      <c r="E138" s="435"/>
      <c r="F138" s="435"/>
      <c r="G138" s="435"/>
      <c r="H138" s="435"/>
      <c r="I138" s="435"/>
      <c r="J138" s="435"/>
      <c r="K138" s="435"/>
      <c r="L138" s="435"/>
      <c r="M138" s="435"/>
      <c r="N138" s="435"/>
      <c r="O138" s="464"/>
    </row>
    <row r="139" spans="2:15" ht="13.5" thickBot="1">
      <c r="B139" s="483"/>
      <c r="C139" s="484"/>
      <c r="D139" s="484"/>
      <c r="E139" s="484"/>
      <c r="F139" s="484"/>
      <c r="G139" s="484"/>
      <c r="H139" s="484"/>
      <c r="I139" s="484"/>
      <c r="J139" s="484"/>
      <c r="K139" s="484"/>
      <c r="L139" s="484"/>
      <c r="M139" s="484"/>
      <c r="N139" s="484"/>
      <c r="O139" s="485"/>
    </row>
    <row r="140" ht="13.5" thickTop="1"/>
    <row r="142" spans="2:3" ht="12.75">
      <c r="B142" s="435"/>
      <c r="C142" s="435"/>
    </row>
    <row r="143" spans="2:3" ht="12.75">
      <c r="B143" s="435"/>
      <c r="C143" s="435"/>
    </row>
    <row r="144" spans="2:3" ht="12.75">
      <c r="B144" s="436"/>
      <c r="C144" s="436"/>
    </row>
    <row r="145" spans="2:3" ht="12.75">
      <c r="B145" s="437"/>
      <c r="C145" s="438"/>
    </row>
    <row r="146" spans="2:3" ht="12.75">
      <c r="B146" s="437"/>
      <c r="C146" s="438"/>
    </row>
    <row r="147" spans="2:3" ht="12.75">
      <c r="B147" s="437"/>
      <c r="C147" s="438"/>
    </row>
    <row r="148" spans="2:3" ht="12.75">
      <c r="B148" s="435"/>
      <c r="C148" s="435"/>
    </row>
  </sheetData>
  <sheetProtection/>
  <mergeCells count="18">
    <mergeCell ref="C6:O6"/>
    <mergeCell ref="C78:E78"/>
    <mergeCell ref="F78:H78"/>
    <mergeCell ref="I78:K78"/>
    <mergeCell ref="L78:N78"/>
    <mergeCell ref="L31:N31"/>
    <mergeCell ref="H9:O9"/>
    <mergeCell ref="H11:O11"/>
    <mergeCell ref="H13:O26"/>
    <mergeCell ref="B70:O74"/>
    <mergeCell ref="B31:B32"/>
    <mergeCell ref="C31:E31"/>
    <mergeCell ref="F31:H31"/>
    <mergeCell ref="I31:K31"/>
    <mergeCell ref="L109:N109"/>
    <mergeCell ref="C109:E109"/>
    <mergeCell ref="F109:H109"/>
    <mergeCell ref="I109:K109"/>
  </mergeCells>
  <printOptions/>
  <pageMargins left="0.75" right="0.75" top="1" bottom="1" header="0.5" footer="0.5"/>
  <pageSetup fitToHeight="1" fitToWidth="1" horizontalDpi="600" verticalDpi="600" orientation="portrait" paperSize="8" scale="51" r:id="rId2"/>
  <headerFooter alignWithMargins="0">
    <oddFooter>&amp;CPage &amp;P of &amp;N</oddFooter>
  </headerFooter>
  <rowBreaks count="1" manualBreakCount="1">
    <brk id="74" max="255" man="1"/>
  </rowBreaks>
  <ignoredErrors>
    <ignoredError sqref="C37:D37" formula="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B1:M92"/>
  <sheetViews>
    <sheetView zoomScaleSheetLayoutView="100" workbookViewId="0" topLeftCell="A1">
      <selection activeCell="A1" sqref="A1"/>
    </sheetView>
  </sheetViews>
  <sheetFormatPr defaultColWidth="9.140625" defaultRowHeight="12.75"/>
  <cols>
    <col min="1" max="1" width="2.7109375" style="200" customWidth="1"/>
    <col min="2" max="2" width="14.140625" style="200" customWidth="1"/>
    <col min="3" max="3" width="16.421875" style="200" customWidth="1"/>
    <col min="4" max="4" width="16.57421875" style="200" customWidth="1"/>
    <col min="5" max="5" width="18.140625" style="200" customWidth="1"/>
    <col min="6" max="6" width="17.28125" style="200" customWidth="1"/>
    <col min="7" max="7" width="19.421875" style="200" customWidth="1"/>
    <col min="8" max="8" width="62.28125" style="200" customWidth="1"/>
    <col min="9" max="9" width="9.57421875" style="200" bestFit="1" customWidth="1"/>
    <col min="10" max="10" width="10.421875" style="200" customWidth="1"/>
    <col min="11" max="16384" width="9.140625" style="200" customWidth="1"/>
  </cols>
  <sheetData>
    <row r="1" spans="2:8" ht="24" thickTop="1">
      <c r="B1" s="296" t="s">
        <v>74</v>
      </c>
      <c r="C1" s="297"/>
      <c r="D1" s="297"/>
      <c r="E1" s="297"/>
      <c r="F1" s="297"/>
      <c r="G1" s="297"/>
      <c r="H1" s="351"/>
    </row>
    <row r="2" spans="2:8" ht="11.25">
      <c r="B2" s="245"/>
      <c r="C2" s="212"/>
      <c r="D2" s="212"/>
      <c r="E2" s="212"/>
      <c r="F2" s="212"/>
      <c r="G2" s="212"/>
      <c r="H2" s="246"/>
    </row>
    <row r="3" spans="2:8" ht="11.25">
      <c r="B3" s="245"/>
      <c r="C3" s="212"/>
      <c r="D3" s="212"/>
      <c r="E3" s="212"/>
      <c r="F3" s="212"/>
      <c r="G3" s="212"/>
      <c r="H3" s="246"/>
    </row>
    <row r="4" spans="2:8" ht="15.75">
      <c r="B4" s="227" t="s">
        <v>154</v>
      </c>
      <c r="C4" s="212"/>
      <c r="D4" s="212"/>
      <c r="E4" s="212"/>
      <c r="F4" s="212"/>
      <c r="G4" s="212"/>
      <c r="H4" s="246"/>
    </row>
    <row r="5" spans="2:8" ht="12" thickBot="1">
      <c r="B5" s="245"/>
      <c r="C5" s="212"/>
      <c r="D5" s="212"/>
      <c r="E5" s="212"/>
      <c r="F5" s="212"/>
      <c r="G5" s="212"/>
      <c r="H5" s="246"/>
    </row>
    <row r="6" spans="2:11" s="488" customFormat="1" ht="141.75" customHeight="1" thickBot="1">
      <c r="B6" s="510" t="s">
        <v>69</v>
      </c>
      <c r="C6" s="709" t="s">
        <v>261</v>
      </c>
      <c r="D6" s="709"/>
      <c r="E6" s="709"/>
      <c r="F6" s="709"/>
      <c r="G6" s="709"/>
      <c r="H6" s="710"/>
      <c r="I6" s="317"/>
      <c r="J6" s="486"/>
      <c r="K6" s="487"/>
    </row>
    <row r="7" spans="2:8" ht="11.25">
      <c r="B7" s="245"/>
      <c r="C7" s="212"/>
      <c r="D7" s="212"/>
      <c r="E7" s="212"/>
      <c r="F7" s="212"/>
      <c r="G7" s="212"/>
      <c r="H7" s="246"/>
    </row>
    <row r="8" spans="2:8" ht="15">
      <c r="B8" s="245"/>
      <c r="C8" s="212"/>
      <c r="D8" s="212"/>
      <c r="E8" s="212"/>
      <c r="F8" s="212"/>
      <c r="G8" s="695" t="s">
        <v>159</v>
      </c>
      <c r="H8" s="697"/>
    </row>
    <row r="9" spans="2:8" ht="14.25">
      <c r="B9" s="245"/>
      <c r="C9" s="212"/>
      <c r="D9" s="212"/>
      <c r="E9" s="212"/>
      <c r="F9" s="212"/>
      <c r="G9" s="489"/>
      <c r="H9" s="504"/>
    </row>
    <row r="10" spans="2:8" ht="11.25" customHeight="1">
      <c r="B10" s="245"/>
      <c r="C10" s="212"/>
      <c r="D10" s="212"/>
      <c r="E10" s="212"/>
      <c r="F10" s="212"/>
      <c r="G10" s="645" t="s">
        <v>212</v>
      </c>
      <c r="H10" s="638"/>
    </row>
    <row r="11" spans="2:8" ht="14.25">
      <c r="B11" s="245"/>
      <c r="C11" s="212"/>
      <c r="D11" s="212"/>
      <c r="E11" s="212"/>
      <c r="F11" s="212"/>
      <c r="G11" s="490"/>
      <c r="H11" s="505"/>
    </row>
    <row r="12" spans="2:8" ht="11.25" customHeight="1">
      <c r="B12" s="245"/>
      <c r="C12" s="212"/>
      <c r="D12" s="212"/>
      <c r="E12" s="212"/>
      <c r="F12" s="212"/>
      <c r="G12" s="757" t="s">
        <v>287</v>
      </c>
      <c r="H12" s="758"/>
    </row>
    <row r="13" spans="2:8" ht="11.25" customHeight="1">
      <c r="B13" s="245"/>
      <c r="C13" s="212"/>
      <c r="D13" s="212"/>
      <c r="E13" s="212"/>
      <c r="F13" s="212"/>
      <c r="G13" s="757"/>
      <c r="H13" s="758"/>
    </row>
    <row r="14" spans="2:8" ht="11.25" customHeight="1">
      <c r="B14" s="245"/>
      <c r="C14" s="212"/>
      <c r="D14" s="212"/>
      <c r="E14" s="212"/>
      <c r="F14" s="212"/>
      <c r="G14" s="757"/>
      <c r="H14" s="758"/>
    </row>
    <row r="15" spans="2:8" ht="11.25" customHeight="1">
      <c r="B15" s="245"/>
      <c r="C15" s="212"/>
      <c r="D15" s="212"/>
      <c r="E15" s="212"/>
      <c r="F15" s="212"/>
      <c r="G15" s="757"/>
      <c r="H15" s="758"/>
    </row>
    <row r="16" spans="2:8" ht="11.25" customHeight="1">
      <c r="B16" s="245"/>
      <c r="C16" s="212"/>
      <c r="D16" s="212"/>
      <c r="E16" s="212"/>
      <c r="F16" s="212"/>
      <c r="G16" s="757"/>
      <c r="H16" s="758"/>
    </row>
    <row r="17" spans="2:8" ht="11.25" customHeight="1">
      <c r="B17" s="245"/>
      <c r="C17" s="212"/>
      <c r="D17" s="212"/>
      <c r="E17" s="212"/>
      <c r="F17" s="212"/>
      <c r="G17" s="757"/>
      <c r="H17" s="758"/>
    </row>
    <row r="18" spans="2:8" ht="11.25" customHeight="1">
      <c r="B18" s="245"/>
      <c r="C18" s="212"/>
      <c r="D18" s="212"/>
      <c r="E18" s="212"/>
      <c r="F18" s="212"/>
      <c r="G18" s="757"/>
      <c r="H18" s="758"/>
    </row>
    <row r="19" spans="2:8" ht="11.25" customHeight="1">
      <c r="B19" s="245"/>
      <c r="C19" s="212"/>
      <c r="D19" s="212"/>
      <c r="E19" s="212"/>
      <c r="F19" s="212"/>
      <c r="G19" s="757"/>
      <c r="H19" s="758"/>
    </row>
    <row r="20" spans="2:8" ht="11.25">
      <c r="B20" s="245"/>
      <c r="C20" s="212"/>
      <c r="D20" s="212"/>
      <c r="E20" s="212"/>
      <c r="F20" s="212"/>
      <c r="G20" s="759"/>
      <c r="H20" s="760"/>
    </row>
    <row r="21" spans="2:8" ht="11.25">
      <c r="B21" s="245"/>
      <c r="C21" s="212"/>
      <c r="D21" s="212"/>
      <c r="E21" s="212"/>
      <c r="F21" s="212"/>
      <c r="G21" s="759"/>
      <c r="H21" s="760"/>
    </row>
    <row r="22" spans="2:8" ht="11.25">
      <c r="B22" s="506"/>
      <c r="C22" s="146"/>
      <c r="D22" s="212"/>
      <c r="E22" s="212"/>
      <c r="F22" s="212"/>
      <c r="G22" s="759"/>
      <c r="H22" s="760"/>
    </row>
    <row r="23" spans="2:8" ht="11.25">
      <c r="B23" s="507"/>
      <c r="C23" s="137"/>
      <c r="D23" s="212"/>
      <c r="E23" s="212"/>
      <c r="F23" s="212"/>
      <c r="G23" s="759"/>
      <c r="H23" s="760"/>
    </row>
    <row r="24" spans="2:8" ht="11.25">
      <c r="B24" s="245"/>
      <c r="C24" s="212"/>
      <c r="D24" s="212"/>
      <c r="E24" s="212"/>
      <c r="F24" s="212"/>
      <c r="G24" s="759"/>
      <c r="H24" s="760"/>
    </row>
    <row r="25" spans="2:8" ht="11.25">
      <c r="B25" s="245"/>
      <c r="C25" s="212"/>
      <c r="D25" s="212"/>
      <c r="E25" s="212"/>
      <c r="F25" s="212"/>
      <c r="G25" s="759"/>
      <c r="H25" s="760"/>
    </row>
    <row r="26" spans="2:8" ht="11.25">
      <c r="B26" s="245"/>
      <c r="C26" s="212"/>
      <c r="D26" s="212"/>
      <c r="E26" s="212"/>
      <c r="F26" s="212"/>
      <c r="G26" s="759"/>
      <c r="H26" s="760"/>
    </row>
    <row r="27" spans="2:8" ht="11.25">
      <c r="B27" s="245"/>
      <c r="C27" s="212"/>
      <c r="D27" s="212"/>
      <c r="E27" s="212"/>
      <c r="F27" s="212"/>
      <c r="G27" s="761"/>
      <c r="H27" s="762"/>
    </row>
    <row r="28" spans="2:8" ht="11.25">
      <c r="B28" s="245"/>
      <c r="C28" s="212"/>
      <c r="D28" s="212"/>
      <c r="E28" s="212"/>
      <c r="F28" s="212"/>
      <c r="G28" s="212"/>
      <c r="H28" s="246"/>
    </row>
    <row r="29" spans="2:8" ht="15.75">
      <c r="B29" s="227" t="s">
        <v>152</v>
      </c>
      <c r="C29" s="212"/>
      <c r="D29" s="212"/>
      <c r="E29" s="212"/>
      <c r="F29" s="212"/>
      <c r="G29" s="212"/>
      <c r="H29" s="246"/>
    </row>
    <row r="30" spans="2:8" ht="11.25">
      <c r="B30" s="245"/>
      <c r="C30" s="212"/>
      <c r="D30" s="212"/>
      <c r="E30" s="212"/>
      <c r="F30" s="212"/>
      <c r="G30" s="212"/>
      <c r="H30" s="246"/>
    </row>
    <row r="31" spans="2:8" ht="11.25">
      <c r="B31" s="245"/>
      <c r="C31" s="212"/>
      <c r="D31" s="212"/>
      <c r="E31" s="212"/>
      <c r="F31" s="212"/>
      <c r="G31" s="212"/>
      <c r="H31" s="246"/>
    </row>
    <row r="32" spans="2:8" ht="11.25">
      <c r="B32" s="245"/>
      <c r="C32" s="212"/>
      <c r="D32" s="212"/>
      <c r="E32" s="212"/>
      <c r="F32" s="212"/>
      <c r="G32" s="212"/>
      <c r="H32" s="246"/>
    </row>
    <row r="33" spans="2:8" ht="11.25">
      <c r="B33" s="245"/>
      <c r="C33" s="212"/>
      <c r="D33" s="212"/>
      <c r="E33" s="212"/>
      <c r="F33" s="212"/>
      <c r="G33" s="212"/>
      <c r="H33" s="246"/>
    </row>
    <row r="34" spans="2:8" ht="11.25">
      <c r="B34" s="245"/>
      <c r="C34" s="212"/>
      <c r="D34" s="212"/>
      <c r="E34" s="212"/>
      <c r="F34" s="212"/>
      <c r="G34" s="212"/>
      <c r="H34" s="246"/>
    </row>
    <row r="35" spans="2:8" ht="11.25">
      <c r="B35" s="245"/>
      <c r="C35" s="212"/>
      <c r="D35" s="212"/>
      <c r="E35" s="212"/>
      <c r="F35" s="212"/>
      <c r="G35" s="212"/>
      <c r="H35" s="246"/>
    </row>
    <row r="36" spans="2:8" ht="11.25">
      <c r="B36" s="245"/>
      <c r="C36" s="212"/>
      <c r="D36" s="212"/>
      <c r="E36" s="212"/>
      <c r="F36" s="212"/>
      <c r="G36" s="212"/>
      <c r="H36" s="246"/>
    </row>
    <row r="37" spans="2:8" ht="11.25">
      <c r="B37" s="245"/>
      <c r="C37" s="212"/>
      <c r="D37" s="212"/>
      <c r="E37" s="212"/>
      <c r="F37" s="212"/>
      <c r="G37" s="212"/>
      <c r="H37" s="246"/>
    </row>
    <row r="38" spans="2:8" ht="11.25">
      <c r="B38" s="245"/>
      <c r="C38" s="212"/>
      <c r="D38" s="212"/>
      <c r="E38" s="212"/>
      <c r="F38" s="212"/>
      <c r="G38" s="212"/>
      <c r="H38" s="246"/>
    </row>
    <row r="39" spans="2:8" ht="11.25">
      <c r="B39" s="245"/>
      <c r="C39" s="212"/>
      <c r="D39" s="212"/>
      <c r="E39" s="212"/>
      <c r="F39" s="212"/>
      <c r="G39" s="212"/>
      <c r="H39" s="246"/>
    </row>
    <row r="40" spans="2:8" ht="11.25">
      <c r="B40" s="245"/>
      <c r="C40" s="212"/>
      <c r="D40" s="212"/>
      <c r="E40" s="212"/>
      <c r="F40" s="212"/>
      <c r="G40" s="212"/>
      <c r="H40" s="246"/>
    </row>
    <row r="41" spans="2:8" ht="11.25">
      <c r="B41" s="245"/>
      <c r="C41" s="212"/>
      <c r="D41" s="212"/>
      <c r="E41" s="212"/>
      <c r="F41" s="212"/>
      <c r="G41" s="212"/>
      <c r="H41" s="246"/>
    </row>
    <row r="42" spans="2:8" ht="11.25">
      <c r="B42" s="245"/>
      <c r="C42" s="212"/>
      <c r="D42" s="212"/>
      <c r="E42" s="212"/>
      <c r="F42" s="212"/>
      <c r="G42" s="212"/>
      <c r="H42" s="246"/>
    </row>
    <row r="43" spans="2:8" ht="11.25">
      <c r="B43" s="245"/>
      <c r="C43" s="212"/>
      <c r="D43" s="212"/>
      <c r="E43" s="212"/>
      <c r="F43" s="212"/>
      <c r="G43" s="212"/>
      <c r="H43" s="246"/>
    </row>
    <row r="44" spans="2:8" ht="11.25">
      <c r="B44" s="245"/>
      <c r="C44" s="212"/>
      <c r="D44" s="212"/>
      <c r="E44" s="212"/>
      <c r="F44" s="212"/>
      <c r="G44" s="212"/>
      <c r="H44" s="246"/>
    </row>
    <row r="45" spans="2:8" ht="11.25">
      <c r="B45" s="245"/>
      <c r="C45" s="212"/>
      <c r="D45" s="212"/>
      <c r="E45" s="212"/>
      <c r="F45" s="212"/>
      <c r="G45" s="212"/>
      <c r="H45" s="246"/>
    </row>
    <row r="46" spans="2:8" ht="11.25">
      <c r="B46" s="245"/>
      <c r="C46" s="212"/>
      <c r="D46" s="212"/>
      <c r="E46" s="212"/>
      <c r="F46" s="212"/>
      <c r="G46" s="212"/>
      <c r="H46" s="246"/>
    </row>
    <row r="47" spans="2:8" ht="11.25">
      <c r="B47" s="245"/>
      <c r="C47" s="212"/>
      <c r="D47" s="212"/>
      <c r="E47" s="212"/>
      <c r="F47" s="212"/>
      <c r="G47" s="212"/>
      <c r="H47" s="246"/>
    </row>
    <row r="48" spans="2:8" ht="11.25">
      <c r="B48" s="245"/>
      <c r="C48" s="212"/>
      <c r="D48" s="212"/>
      <c r="E48" s="212"/>
      <c r="F48" s="212"/>
      <c r="G48" s="212"/>
      <c r="H48" s="246"/>
    </row>
    <row r="49" spans="2:8" ht="11.25">
      <c r="B49" s="245"/>
      <c r="C49" s="212"/>
      <c r="D49" s="212"/>
      <c r="E49" s="212"/>
      <c r="F49" s="212"/>
      <c r="G49" s="212"/>
      <c r="H49" s="246"/>
    </row>
    <row r="50" spans="2:8" ht="11.25">
      <c r="B50" s="245"/>
      <c r="C50" s="212"/>
      <c r="D50" s="212"/>
      <c r="E50" s="212"/>
      <c r="F50" s="212"/>
      <c r="G50" s="212"/>
      <c r="H50" s="246"/>
    </row>
    <row r="51" spans="2:8" ht="11.25">
      <c r="B51" s="245"/>
      <c r="C51" s="212"/>
      <c r="D51" s="212"/>
      <c r="E51" s="212"/>
      <c r="F51" s="212"/>
      <c r="G51" s="212"/>
      <c r="H51" s="246"/>
    </row>
    <row r="52" spans="2:8" ht="14.25">
      <c r="B52" s="686" t="s">
        <v>268</v>
      </c>
      <c r="C52" s="687"/>
      <c r="D52" s="687"/>
      <c r="E52" s="687"/>
      <c r="F52" s="687"/>
      <c r="G52" s="687"/>
      <c r="H52" s="688"/>
    </row>
    <row r="53" spans="2:8" ht="11.25">
      <c r="B53" s="245"/>
      <c r="C53" s="212"/>
      <c r="D53" s="212"/>
      <c r="E53" s="212"/>
      <c r="F53" s="212"/>
      <c r="G53" s="212"/>
      <c r="H53" s="246"/>
    </row>
    <row r="54" spans="2:8" ht="15.75">
      <c r="B54" s="227" t="s">
        <v>153</v>
      </c>
      <c r="C54" s="212"/>
      <c r="D54" s="212"/>
      <c r="E54" s="212"/>
      <c r="F54" s="212"/>
      <c r="G54" s="212"/>
      <c r="H54" s="246"/>
    </row>
    <row r="55" spans="2:8" ht="12" thickBot="1">
      <c r="B55" s="245"/>
      <c r="C55" s="212"/>
      <c r="D55" s="212"/>
      <c r="E55" s="212"/>
      <c r="F55" s="212"/>
      <c r="G55" s="212"/>
      <c r="H55" s="246"/>
    </row>
    <row r="56" spans="2:12" ht="57">
      <c r="B56" s="508" t="s">
        <v>40</v>
      </c>
      <c r="C56" s="491" t="s">
        <v>272</v>
      </c>
      <c r="D56" s="491" t="s">
        <v>273</v>
      </c>
      <c r="E56" s="492" t="s">
        <v>0</v>
      </c>
      <c r="F56" s="212"/>
      <c r="G56" s="212"/>
      <c r="H56" s="246"/>
      <c r="I56" s="493"/>
      <c r="J56" s="265"/>
      <c r="K56" s="265"/>
      <c r="L56" s="494"/>
    </row>
    <row r="57" spans="2:12" ht="15.75">
      <c r="B57" s="509">
        <v>40634</v>
      </c>
      <c r="C57" s="495">
        <v>1.49</v>
      </c>
      <c r="D57" s="495">
        <v>0</v>
      </c>
      <c r="E57" s="330">
        <v>854.299377</v>
      </c>
      <c r="F57" s="212"/>
      <c r="G57" s="212"/>
      <c r="H57" s="246"/>
      <c r="I57" s="142"/>
      <c r="J57" s="265"/>
      <c r="K57" s="496"/>
      <c r="L57" s="264"/>
    </row>
    <row r="58" spans="2:12" ht="15.75">
      <c r="B58" s="305">
        <v>40664</v>
      </c>
      <c r="C58" s="495">
        <v>1.24</v>
      </c>
      <c r="D58" s="495">
        <v>0</v>
      </c>
      <c r="E58" s="330">
        <v>755.599378</v>
      </c>
      <c r="F58" s="212"/>
      <c r="G58" s="212"/>
      <c r="H58" s="246"/>
      <c r="I58" s="493"/>
      <c r="J58" s="265"/>
      <c r="K58" s="265"/>
      <c r="L58" s="264"/>
    </row>
    <row r="59" spans="2:12" ht="15.75">
      <c r="B59" s="305">
        <v>40695</v>
      </c>
      <c r="C59" s="495">
        <v>1.26</v>
      </c>
      <c r="D59" s="495">
        <v>0</v>
      </c>
      <c r="E59" s="330">
        <v>755.599378</v>
      </c>
      <c r="F59" s="212"/>
      <c r="G59" s="212"/>
      <c r="H59" s="246"/>
      <c r="J59" s="265"/>
      <c r="K59" s="142"/>
      <c r="L59" s="264"/>
    </row>
    <row r="60" spans="2:12" ht="15.75">
      <c r="B60" s="305">
        <v>40725</v>
      </c>
      <c r="C60" s="495"/>
      <c r="D60" s="495"/>
      <c r="E60" s="330"/>
      <c r="F60" s="212"/>
      <c r="G60" s="212"/>
      <c r="H60" s="246"/>
      <c r="J60" s="265"/>
      <c r="K60" s="497"/>
      <c r="L60" s="265"/>
    </row>
    <row r="61" spans="2:12" ht="15.75">
      <c r="B61" s="305">
        <v>40756</v>
      </c>
      <c r="C61" s="495"/>
      <c r="D61" s="495"/>
      <c r="E61" s="330"/>
      <c r="F61" s="212"/>
      <c r="G61" s="212"/>
      <c r="H61" s="246"/>
      <c r="J61" s="265"/>
      <c r="K61" s="142"/>
      <c r="L61" s="265"/>
    </row>
    <row r="62" spans="2:12" ht="15.75">
      <c r="B62" s="305">
        <v>40787</v>
      </c>
      <c r="C62" s="495"/>
      <c r="D62" s="495"/>
      <c r="E62" s="330"/>
      <c r="F62" s="212"/>
      <c r="G62" s="212"/>
      <c r="H62" s="246"/>
      <c r="J62" s="265"/>
      <c r="K62" s="497"/>
      <c r="L62" s="265"/>
    </row>
    <row r="63" spans="2:12" ht="15.75">
      <c r="B63" s="305">
        <v>40817</v>
      </c>
      <c r="C63" s="498"/>
      <c r="D63" s="498"/>
      <c r="E63" s="330"/>
      <c r="F63" s="212"/>
      <c r="G63" s="212"/>
      <c r="H63" s="246"/>
      <c r="K63" s="142"/>
      <c r="L63" s="499"/>
    </row>
    <row r="64" spans="2:12" ht="15.75">
      <c r="B64" s="305">
        <v>40848</v>
      </c>
      <c r="C64" s="498"/>
      <c r="D64" s="498"/>
      <c r="E64" s="330"/>
      <c r="F64" s="212"/>
      <c r="G64" s="212"/>
      <c r="H64" s="246"/>
      <c r="K64" s="264"/>
      <c r="L64" s="499"/>
    </row>
    <row r="65" spans="2:12" ht="15.75">
      <c r="B65" s="305">
        <v>40878</v>
      </c>
      <c r="C65" s="498"/>
      <c r="D65" s="498"/>
      <c r="E65" s="330"/>
      <c r="F65" s="212"/>
      <c r="G65" s="212"/>
      <c r="H65" s="246"/>
      <c r="K65" s="142"/>
      <c r="L65" s="499"/>
    </row>
    <row r="66" spans="2:12" ht="15.75">
      <c r="B66" s="305">
        <v>40909</v>
      </c>
      <c r="C66" s="498"/>
      <c r="D66" s="498"/>
      <c r="E66" s="330"/>
      <c r="F66" s="212"/>
      <c r="G66" s="212"/>
      <c r="H66" s="246"/>
      <c r="K66" s="497"/>
      <c r="L66" s="499"/>
    </row>
    <row r="67" spans="2:12" ht="15.75">
      <c r="B67" s="305">
        <v>40940</v>
      </c>
      <c r="C67" s="498"/>
      <c r="D67" s="498"/>
      <c r="E67" s="330"/>
      <c r="F67" s="212"/>
      <c r="G67" s="212"/>
      <c r="H67" s="246"/>
      <c r="L67" s="499"/>
    </row>
    <row r="68" spans="2:12" ht="15" thickBot="1">
      <c r="B68" s="307">
        <v>40969</v>
      </c>
      <c r="C68" s="500"/>
      <c r="D68" s="501"/>
      <c r="E68" s="502"/>
      <c r="F68" s="503"/>
      <c r="G68" s="212"/>
      <c r="H68" s="246"/>
      <c r="L68" s="142"/>
    </row>
    <row r="69" spans="2:13" ht="15.75">
      <c r="B69" s="245"/>
      <c r="C69" s="212"/>
      <c r="D69" s="212"/>
      <c r="E69" s="212"/>
      <c r="F69" s="212"/>
      <c r="G69" s="212"/>
      <c r="H69" s="246"/>
      <c r="M69" s="265"/>
    </row>
    <row r="70" spans="2:13" ht="12.75">
      <c r="B70" s="245"/>
      <c r="C70" s="212"/>
      <c r="D70" s="212"/>
      <c r="E70" s="212"/>
      <c r="F70" s="212"/>
      <c r="G70" s="212"/>
      <c r="H70" s="246"/>
      <c r="M70" s="142"/>
    </row>
    <row r="71" spans="2:13" ht="15.75">
      <c r="B71" s="245"/>
      <c r="C71" s="212"/>
      <c r="D71" s="212"/>
      <c r="E71" s="212"/>
      <c r="F71" s="212"/>
      <c r="G71" s="212"/>
      <c r="H71" s="246"/>
      <c r="M71" s="265"/>
    </row>
    <row r="72" spans="2:13" ht="12.75">
      <c r="B72" s="245"/>
      <c r="C72" s="212"/>
      <c r="D72" s="212"/>
      <c r="E72" s="212"/>
      <c r="F72" s="212"/>
      <c r="G72" s="212"/>
      <c r="H72" s="246"/>
      <c r="M72" s="142"/>
    </row>
    <row r="73" spans="2:13" ht="15.75">
      <c r="B73" s="245"/>
      <c r="C73" s="212"/>
      <c r="D73" s="212"/>
      <c r="E73" s="212"/>
      <c r="F73" s="212"/>
      <c r="G73" s="212"/>
      <c r="H73" s="246"/>
      <c r="M73" s="496"/>
    </row>
    <row r="74" spans="2:8" ht="11.25">
      <c r="B74" s="245"/>
      <c r="C74" s="212"/>
      <c r="D74" s="212"/>
      <c r="E74" s="212"/>
      <c r="F74" s="212"/>
      <c r="G74" s="212"/>
      <c r="H74" s="246"/>
    </row>
    <row r="75" spans="2:8" ht="11.25">
      <c r="B75" s="245"/>
      <c r="C75" s="212"/>
      <c r="D75" s="212"/>
      <c r="E75" s="212"/>
      <c r="F75" s="212"/>
      <c r="G75" s="212"/>
      <c r="H75" s="246"/>
    </row>
    <row r="76" spans="2:8" ht="11.25">
      <c r="B76" s="245"/>
      <c r="C76" s="212"/>
      <c r="D76" s="212"/>
      <c r="E76" s="212"/>
      <c r="F76" s="212"/>
      <c r="G76" s="212"/>
      <c r="H76" s="246"/>
    </row>
    <row r="77" spans="2:8" ht="11.25">
      <c r="B77" s="245"/>
      <c r="C77" s="212"/>
      <c r="D77" s="212"/>
      <c r="E77" s="212"/>
      <c r="F77" s="212"/>
      <c r="G77" s="212"/>
      <c r="H77" s="246"/>
    </row>
    <row r="78" spans="2:8" ht="11.25">
      <c r="B78" s="245"/>
      <c r="C78" s="212"/>
      <c r="D78" s="212"/>
      <c r="E78" s="212"/>
      <c r="F78" s="212"/>
      <c r="G78" s="212"/>
      <c r="H78" s="246"/>
    </row>
    <row r="79" spans="2:8" ht="11.25">
      <c r="B79" s="245"/>
      <c r="C79" s="212"/>
      <c r="D79" s="212"/>
      <c r="E79" s="212"/>
      <c r="F79" s="212"/>
      <c r="G79" s="212"/>
      <c r="H79" s="246"/>
    </row>
    <row r="80" spans="2:8" ht="11.25">
      <c r="B80" s="245"/>
      <c r="C80" s="212"/>
      <c r="D80" s="212"/>
      <c r="E80" s="212"/>
      <c r="F80" s="212"/>
      <c r="G80" s="212"/>
      <c r="H80" s="246"/>
    </row>
    <row r="81" spans="2:8" ht="11.25">
      <c r="B81" s="245"/>
      <c r="C81" s="212"/>
      <c r="D81" s="212"/>
      <c r="E81" s="212"/>
      <c r="F81" s="212"/>
      <c r="G81" s="212"/>
      <c r="H81" s="246"/>
    </row>
    <row r="82" spans="2:8" ht="11.25">
      <c r="B82" s="245"/>
      <c r="C82" s="212"/>
      <c r="D82" s="212"/>
      <c r="E82" s="212"/>
      <c r="F82" s="212"/>
      <c r="G82" s="212"/>
      <c r="H82" s="246"/>
    </row>
    <row r="83" spans="2:8" ht="11.25">
      <c r="B83" s="245"/>
      <c r="C83" s="212"/>
      <c r="D83" s="212"/>
      <c r="E83" s="212"/>
      <c r="F83" s="212"/>
      <c r="G83" s="212"/>
      <c r="H83" s="246"/>
    </row>
    <row r="84" spans="2:8" ht="11.25">
      <c r="B84" s="245"/>
      <c r="C84" s="212"/>
      <c r="D84" s="212"/>
      <c r="E84" s="212"/>
      <c r="F84" s="212"/>
      <c r="G84" s="212"/>
      <c r="H84" s="246"/>
    </row>
    <row r="85" spans="2:8" ht="11.25">
      <c r="B85" s="245"/>
      <c r="C85" s="212"/>
      <c r="D85" s="212"/>
      <c r="E85" s="212"/>
      <c r="F85" s="212"/>
      <c r="G85" s="212"/>
      <c r="H85" s="246"/>
    </row>
    <row r="86" spans="2:8" ht="11.25">
      <c r="B86" s="245"/>
      <c r="C86" s="212"/>
      <c r="D86" s="212"/>
      <c r="E86" s="212"/>
      <c r="F86" s="212"/>
      <c r="G86" s="212"/>
      <c r="H86" s="246"/>
    </row>
    <row r="87" spans="2:8" ht="11.25">
      <c r="B87" s="245"/>
      <c r="C87" s="212"/>
      <c r="D87" s="212"/>
      <c r="E87" s="212"/>
      <c r="F87" s="212"/>
      <c r="G87" s="212"/>
      <c r="H87" s="246"/>
    </row>
    <row r="88" spans="2:8" ht="11.25">
      <c r="B88" s="245"/>
      <c r="C88" s="212"/>
      <c r="D88" s="212"/>
      <c r="E88" s="212"/>
      <c r="F88" s="212"/>
      <c r="G88" s="212"/>
      <c r="H88" s="246"/>
    </row>
    <row r="89" spans="2:8" ht="11.25">
      <c r="B89" s="245"/>
      <c r="C89" s="212"/>
      <c r="D89" s="212"/>
      <c r="E89" s="212"/>
      <c r="F89" s="212"/>
      <c r="G89" s="212"/>
      <c r="H89" s="246"/>
    </row>
    <row r="90" spans="2:8" ht="11.25">
      <c r="B90" s="245"/>
      <c r="C90" s="212"/>
      <c r="D90" s="212"/>
      <c r="E90" s="212"/>
      <c r="F90" s="212"/>
      <c r="G90" s="212"/>
      <c r="H90" s="246"/>
    </row>
    <row r="91" spans="2:8" ht="11.25">
      <c r="B91" s="245"/>
      <c r="C91" s="212"/>
      <c r="D91" s="212"/>
      <c r="E91" s="212"/>
      <c r="F91" s="212"/>
      <c r="G91" s="212"/>
      <c r="H91" s="246"/>
    </row>
    <row r="92" spans="2:8" ht="12" thickBot="1">
      <c r="B92" s="247"/>
      <c r="C92" s="248"/>
      <c r="D92" s="248"/>
      <c r="E92" s="248"/>
      <c r="F92" s="248"/>
      <c r="G92" s="248"/>
      <c r="H92" s="249"/>
    </row>
    <row r="93" ht="12" thickTop="1"/>
  </sheetData>
  <mergeCells count="5">
    <mergeCell ref="C6:H6"/>
    <mergeCell ref="B52:H52"/>
    <mergeCell ref="G8:H8"/>
    <mergeCell ref="G10:H10"/>
    <mergeCell ref="G12:H27"/>
  </mergeCells>
  <printOptions/>
  <pageMargins left="0.75" right="0.75" top="1" bottom="1" header="0.5" footer="0.5"/>
  <pageSetup fitToHeight="1" fitToWidth="1" horizontalDpi="600" verticalDpi="600" orientation="portrait" paperSize="8" scale="79" r:id="rId2"/>
  <headerFooter alignWithMargins="0">
    <oddFooter>&amp;CPage &amp;P of &amp;N</oddFooter>
  </headerFooter>
  <rowBreaks count="1" manualBreakCount="1">
    <brk id="52"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1:R214"/>
  <sheetViews>
    <sheetView zoomScaleSheetLayoutView="75" workbookViewId="0" topLeftCell="A19">
      <selection activeCell="B1" sqref="B1"/>
    </sheetView>
  </sheetViews>
  <sheetFormatPr defaultColWidth="9.140625" defaultRowHeight="12.75"/>
  <cols>
    <col min="1" max="1" width="0.9921875" style="200" customWidth="1"/>
    <col min="2" max="2" width="13.8515625" style="200" customWidth="1"/>
    <col min="3" max="3" width="14.421875" style="200" customWidth="1"/>
    <col min="4" max="4" width="14.00390625" style="200" customWidth="1"/>
    <col min="5" max="5" width="14.28125" style="200" customWidth="1"/>
    <col min="6" max="6" width="12.421875" style="200" customWidth="1"/>
    <col min="7" max="7" width="11.57421875" style="200" customWidth="1"/>
    <col min="8" max="8" width="11.140625" style="200" customWidth="1"/>
    <col min="9" max="9" width="9.8515625" style="200" customWidth="1"/>
    <col min="10" max="10" width="13.57421875" style="200" customWidth="1"/>
    <col min="11" max="12" width="12.8515625" style="200" customWidth="1"/>
    <col min="13" max="13" width="11.7109375" style="200" customWidth="1"/>
    <col min="14" max="14" width="12.7109375" style="200" customWidth="1"/>
    <col min="15" max="15" width="11.00390625" style="200" customWidth="1"/>
    <col min="16" max="16" width="11.7109375" style="200" customWidth="1"/>
    <col min="17" max="17" width="9.57421875" style="200" bestFit="1" customWidth="1"/>
    <col min="18" max="18" width="7.140625" style="200" bestFit="1" customWidth="1"/>
    <col min="19" max="19" width="9.28125" style="200" bestFit="1" customWidth="1"/>
    <col min="20" max="25" width="9.140625" style="314" customWidth="1"/>
    <col min="26" max="16384" width="9.140625" style="200" customWidth="1"/>
  </cols>
  <sheetData>
    <row r="1" spans="2:16" ht="21" customHeight="1" thickTop="1">
      <c r="B1" s="296" t="s">
        <v>72</v>
      </c>
      <c r="C1" s="297"/>
      <c r="D1" s="297"/>
      <c r="E1" s="297"/>
      <c r="F1" s="297"/>
      <c r="G1" s="297"/>
      <c r="H1" s="297"/>
      <c r="I1" s="297"/>
      <c r="J1" s="297"/>
      <c r="K1" s="297"/>
      <c r="L1" s="297"/>
      <c r="M1" s="297"/>
      <c r="N1" s="297"/>
      <c r="O1" s="297"/>
      <c r="P1" s="351"/>
    </row>
    <row r="2" spans="2:16" ht="12.75" customHeight="1">
      <c r="B2" s="245"/>
      <c r="C2" s="553"/>
      <c r="D2" s="212"/>
      <c r="E2" s="212"/>
      <c r="F2" s="212"/>
      <c r="G2" s="212"/>
      <c r="H2" s="212"/>
      <c r="I2" s="212"/>
      <c r="J2" s="212"/>
      <c r="K2" s="212"/>
      <c r="L2" s="212"/>
      <c r="M2" s="212"/>
      <c r="N2" s="212"/>
      <c r="O2" s="212"/>
      <c r="P2" s="246"/>
    </row>
    <row r="3" spans="2:16" ht="12.75" customHeight="1">
      <c r="B3" s="245"/>
      <c r="C3" s="553"/>
      <c r="D3" s="212"/>
      <c r="E3" s="212"/>
      <c r="F3" s="212"/>
      <c r="G3" s="212"/>
      <c r="H3" s="212"/>
      <c r="I3" s="212"/>
      <c r="J3" s="212"/>
      <c r="K3" s="212"/>
      <c r="L3" s="212"/>
      <c r="M3" s="212"/>
      <c r="N3" s="212"/>
      <c r="O3" s="212"/>
      <c r="P3" s="246"/>
    </row>
    <row r="4" spans="2:16" ht="12.75" customHeight="1">
      <c r="B4" s="227" t="s">
        <v>154</v>
      </c>
      <c r="C4" s="553"/>
      <c r="D4" s="212"/>
      <c r="E4" s="212"/>
      <c r="F4" s="212"/>
      <c r="G4" s="212"/>
      <c r="H4" s="212"/>
      <c r="I4" s="212"/>
      <c r="J4" s="212"/>
      <c r="K4" s="212"/>
      <c r="L4" s="212"/>
      <c r="M4" s="212"/>
      <c r="N4" s="212"/>
      <c r="O4" s="212"/>
      <c r="P4" s="246"/>
    </row>
    <row r="5" spans="2:16" ht="12.75" customHeight="1" thickBot="1">
      <c r="B5" s="245"/>
      <c r="C5" s="553"/>
      <c r="D5" s="212"/>
      <c r="E5" s="212"/>
      <c r="F5" s="212"/>
      <c r="G5" s="212"/>
      <c r="H5" s="212"/>
      <c r="I5" s="212"/>
      <c r="J5" s="212"/>
      <c r="K5" s="212"/>
      <c r="L5" s="212"/>
      <c r="M5" s="212"/>
      <c r="N5" s="212"/>
      <c r="O5" s="212"/>
      <c r="P5" s="246"/>
    </row>
    <row r="6" spans="2:16" ht="114" customHeight="1">
      <c r="B6" s="510" t="s">
        <v>69</v>
      </c>
      <c r="C6" s="769" t="s">
        <v>224</v>
      </c>
      <c r="D6" s="770"/>
      <c r="E6" s="770"/>
      <c r="F6" s="770"/>
      <c r="G6" s="770"/>
      <c r="H6" s="770"/>
      <c r="I6" s="770"/>
      <c r="J6" s="770"/>
      <c r="K6" s="770"/>
      <c r="L6" s="770"/>
      <c r="M6" s="770"/>
      <c r="N6" s="770"/>
      <c r="O6" s="770"/>
      <c r="P6" s="771"/>
    </row>
    <row r="7" spans="2:16" ht="11.25">
      <c r="B7" s="232"/>
      <c r="C7" s="279"/>
      <c r="D7" s="279"/>
      <c r="E7" s="279"/>
      <c r="F7" s="279"/>
      <c r="G7" s="279"/>
      <c r="H7" s="279"/>
      <c r="I7" s="279"/>
      <c r="J7" s="279"/>
      <c r="K7" s="279"/>
      <c r="L7" s="320"/>
      <c r="M7" s="320"/>
      <c r="N7" s="320"/>
      <c r="O7" s="320"/>
      <c r="P7" s="354"/>
    </row>
    <row r="8" spans="2:16" ht="15">
      <c r="B8" s="232"/>
      <c r="C8" s="279"/>
      <c r="D8" s="279"/>
      <c r="E8" s="279"/>
      <c r="F8" s="279"/>
      <c r="G8" s="279"/>
      <c r="H8" s="279"/>
      <c r="I8" s="279"/>
      <c r="J8" s="695" t="s">
        <v>159</v>
      </c>
      <c r="K8" s="696"/>
      <c r="L8" s="696"/>
      <c r="M8" s="696"/>
      <c r="N8" s="696"/>
      <c r="O8" s="696"/>
      <c r="P8" s="697"/>
    </row>
    <row r="9" spans="2:16" ht="14.25">
      <c r="B9" s="232"/>
      <c r="C9" s="279"/>
      <c r="D9" s="279"/>
      <c r="E9" s="279"/>
      <c r="F9" s="279"/>
      <c r="G9" s="279"/>
      <c r="H9" s="279"/>
      <c r="I9" s="279"/>
      <c r="J9" s="511"/>
      <c r="K9" s="512"/>
      <c r="L9" s="513"/>
      <c r="M9" s="513"/>
      <c r="N9" s="183"/>
      <c r="O9" s="183"/>
      <c r="P9" s="244"/>
    </row>
    <row r="10" spans="2:16" ht="11.25" customHeight="1">
      <c r="B10" s="232"/>
      <c r="C10" s="279"/>
      <c r="D10" s="279"/>
      <c r="E10" s="279"/>
      <c r="F10" s="279"/>
      <c r="G10" s="279"/>
      <c r="H10" s="279"/>
      <c r="I10" s="279"/>
      <c r="J10" s="645" t="s">
        <v>213</v>
      </c>
      <c r="K10" s="637"/>
      <c r="L10" s="637"/>
      <c r="M10" s="637"/>
      <c r="N10" s="637"/>
      <c r="O10" s="637"/>
      <c r="P10" s="638"/>
    </row>
    <row r="11" spans="2:16" ht="11.25" customHeight="1">
      <c r="B11" s="232"/>
      <c r="C11" s="279"/>
      <c r="D11" s="279"/>
      <c r="E11" s="279"/>
      <c r="F11" s="279"/>
      <c r="G11" s="279"/>
      <c r="H11" s="279"/>
      <c r="I11" s="279"/>
      <c r="J11" s="645"/>
      <c r="K11" s="637"/>
      <c r="L11" s="637"/>
      <c r="M11" s="637"/>
      <c r="N11" s="637"/>
      <c r="O11" s="637"/>
      <c r="P11" s="638"/>
    </row>
    <row r="12" spans="2:16" ht="14.25" customHeight="1">
      <c r="B12" s="232"/>
      <c r="C12" s="279"/>
      <c r="D12" s="279"/>
      <c r="E12" s="279"/>
      <c r="F12" s="279"/>
      <c r="G12" s="279"/>
      <c r="H12" s="279"/>
      <c r="I12" s="279"/>
      <c r="J12" s="645"/>
      <c r="K12" s="637"/>
      <c r="L12" s="637"/>
      <c r="M12" s="637"/>
      <c r="N12" s="637"/>
      <c r="O12" s="637"/>
      <c r="P12" s="638"/>
    </row>
    <row r="13" spans="2:16" ht="11.25" customHeight="1">
      <c r="B13" s="232"/>
      <c r="C13" s="279"/>
      <c r="D13" s="279"/>
      <c r="E13" s="279"/>
      <c r="F13" s="279"/>
      <c r="G13" s="279"/>
      <c r="H13" s="279"/>
      <c r="I13" s="279"/>
      <c r="J13" s="211"/>
      <c r="K13" s="514"/>
      <c r="L13" s="514"/>
      <c r="M13" s="514"/>
      <c r="N13" s="514"/>
      <c r="O13" s="514"/>
      <c r="P13" s="505"/>
    </row>
    <row r="14" spans="2:16" ht="11.25" customHeight="1">
      <c r="B14" s="232"/>
      <c r="C14" s="279"/>
      <c r="D14" s="279"/>
      <c r="E14" s="279"/>
      <c r="F14" s="279"/>
      <c r="G14" s="279"/>
      <c r="H14" s="279"/>
      <c r="I14" s="279"/>
      <c r="J14" s="639" t="s">
        <v>9</v>
      </c>
      <c r="K14" s="640"/>
      <c r="L14" s="640"/>
      <c r="M14" s="640"/>
      <c r="N14" s="640"/>
      <c r="O14" s="640"/>
      <c r="P14" s="641"/>
    </row>
    <row r="15" spans="2:16" ht="11.25" customHeight="1">
      <c r="B15" s="232"/>
      <c r="C15" s="279"/>
      <c r="D15" s="279"/>
      <c r="E15" s="279"/>
      <c r="F15" s="279"/>
      <c r="G15" s="279"/>
      <c r="H15" s="279"/>
      <c r="I15" s="279"/>
      <c r="J15" s="639"/>
      <c r="K15" s="640"/>
      <c r="L15" s="640"/>
      <c r="M15" s="640"/>
      <c r="N15" s="640"/>
      <c r="O15" s="640"/>
      <c r="P15" s="641"/>
    </row>
    <row r="16" spans="2:16" ht="11.25" customHeight="1">
      <c r="B16" s="232"/>
      <c r="C16" s="279"/>
      <c r="D16" s="279"/>
      <c r="E16" s="279"/>
      <c r="F16" s="279"/>
      <c r="G16" s="279"/>
      <c r="H16" s="279"/>
      <c r="I16" s="279"/>
      <c r="J16" s="639"/>
      <c r="K16" s="640"/>
      <c r="L16" s="640"/>
      <c r="M16" s="640"/>
      <c r="N16" s="640"/>
      <c r="O16" s="640"/>
      <c r="P16" s="641"/>
    </row>
    <row r="17" spans="2:16" ht="11.25" customHeight="1">
      <c r="B17" s="232"/>
      <c r="C17" s="279"/>
      <c r="D17" s="279"/>
      <c r="E17" s="279"/>
      <c r="F17" s="279"/>
      <c r="G17" s="279"/>
      <c r="H17" s="279"/>
      <c r="I17" s="279"/>
      <c r="J17" s="639"/>
      <c r="K17" s="640"/>
      <c r="L17" s="640"/>
      <c r="M17" s="640"/>
      <c r="N17" s="640"/>
      <c r="O17" s="640"/>
      <c r="P17" s="641"/>
    </row>
    <row r="18" spans="2:16" ht="14.25" customHeight="1">
      <c r="B18" s="232"/>
      <c r="C18" s="279"/>
      <c r="D18" s="279"/>
      <c r="E18" s="279"/>
      <c r="F18" s="279"/>
      <c r="G18" s="279"/>
      <c r="H18" s="279"/>
      <c r="I18" s="279"/>
      <c r="J18" s="639"/>
      <c r="K18" s="640"/>
      <c r="L18" s="640"/>
      <c r="M18" s="640"/>
      <c r="N18" s="640"/>
      <c r="O18" s="640"/>
      <c r="P18" s="641"/>
    </row>
    <row r="19" spans="2:16" ht="24.75" customHeight="1">
      <c r="B19" s="232"/>
      <c r="C19" s="279"/>
      <c r="D19" s="279"/>
      <c r="E19" s="279"/>
      <c r="F19" s="279"/>
      <c r="G19" s="279"/>
      <c r="H19" s="279"/>
      <c r="I19" s="279"/>
      <c r="J19" s="639"/>
      <c r="K19" s="640"/>
      <c r="L19" s="640"/>
      <c r="M19" s="640"/>
      <c r="N19" s="640"/>
      <c r="O19" s="640"/>
      <c r="P19" s="641"/>
    </row>
    <row r="20" spans="2:16" ht="14.25">
      <c r="B20" s="232"/>
      <c r="C20" s="279"/>
      <c r="D20" s="279"/>
      <c r="E20" s="279"/>
      <c r="F20" s="279"/>
      <c r="G20" s="279"/>
      <c r="H20" s="279"/>
      <c r="I20" s="279"/>
      <c r="J20" s="148"/>
      <c r="K20" s="149"/>
      <c r="L20" s="183"/>
      <c r="M20" s="183"/>
      <c r="N20" s="183"/>
      <c r="O20" s="183"/>
      <c r="P20" s="244"/>
    </row>
    <row r="21" spans="2:16" ht="14.25">
      <c r="B21" s="232"/>
      <c r="C21" s="279"/>
      <c r="D21" s="279"/>
      <c r="E21" s="279"/>
      <c r="F21" s="279"/>
      <c r="G21" s="279"/>
      <c r="H21" s="279"/>
      <c r="I21" s="279"/>
      <c r="J21" s="148"/>
      <c r="K21" s="149"/>
      <c r="L21" s="183"/>
      <c r="M21" s="183"/>
      <c r="N21" s="183"/>
      <c r="O21" s="183"/>
      <c r="P21" s="244"/>
    </row>
    <row r="22" spans="2:16" ht="14.25">
      <c r="B22" s="232"/>
      <c r="C22" s="279"/>
      <c r="D22" s="279"/>
      <c r="E22" s="279"/>
      <c r="F22" s="279"/>
      <c r="G22" s="279"/>
      <c r="H22" s="279"/>
      <c r="I22" s="279"/>
      <c r="J22" s="148"/>
      <c r="K22" s="149"/>
      <c r="L22" s="183"/>
      <c r="M22" s="183"/>
      <c r="N22" s="183"/>
      <c r="O22" s="183"/>
      <c r="P22" s="244"/>
    </row>
    <row r="23" spans="2:16" ht="14.25">
      <c r="B23" s="232"/>
      <c r="C23" s="279"/>
      <c r="D23" s="279"/>
      <c r="E23" s="279"/>
      <c r="F23" s="279"/>
      <c r="G23" s="279"/>
      <c r="H23" s="279"/>
      <c r="I23" s="279"/>
      <c r="J23" s="148"/>
      <c r="K23" s="149"/>
      <c r="L23" s="183"/>
      <c r="M23" s="183"/>
      <c r="N23" s="515"/>
      <c r="O23" s="515"/>
      <c r="P23" s="260"/>
    </row>
    <row r="24" spans="2:16" ht="11.25">
      <c r="B24" s="232"/>
      <c r="C24" s="279"/>
      <c r="D24" s="279"/>
      <c r="E24" s="279"/>
      <c r="F24" s="279"/>
      <c r="G24" s="279"/>
      <c r="H24" s="279"/>
      <c r="I24" s="279"/>
      <c r="J24" s="516"/>
      <c r="K24" s="516"/>
      <c r="L24" s="517"/>
      <c r="M24" s="517"/>
      <c r="N24" s="320"/>
      <c r="O24" s="320"/>
      <c r="P24" s="354"/>
    </row>
    <row r="25" spans="2:16" ht="15">
      <c r="B25" s="232"/>
      <c r="C25" s="279"/>
      <c r="D25" s="279"/>
      <c r="E25" s="279"/>
      <c r="F25" s="279"/>
      <c r="G25" s="279"/>
      <c r="H25" s="279"/>
      <c r="I25" s="279"/>
      <c r="J25" s="695" t="s">
        <v>159</v>
      </c>
      <c r="K25" s="696"/>
      <c r="L25" s="696"/>
      <c r="M25" s="696"/>
      <c r="N25" s="696"/>
      <c r="O25" s="696"/>
      <c r="P25" s="697"/>
    </row>
    <row r="26" spans="2:16" ht="14.25">
      <c r="B26" s="232"/>
      <c r="C26" s="279"/>
      <c r="D26" s="279"/>
      <c r="E26" s="279"/>
      <c r="F26" s="279"/>
      <c r="G26" s="279"/>
      <c r="H26" s="279"/>
      <c r="I26" s="279"/>
      <c r="J26" s="511"/>
      <c r="K26" s="512"/>
      <c r="L26" s="513"/>
      <c r="M26" s="513"/>
      <c r="N26" s="183"/>
      <c r="O26" s="183"/>
      <c r="P26" s="244"/>
    </row>
    <row r="27" spans="2:16" ht="11.25" customHeight="1">
      <c r="B27" s="232"/>
      <c r="C27" s="279"/>
      <c r="D27" s="279"/>
      <c r="E27" s="279"/>
      <c r="F27" s="279"/>
      <c r="G27" s="279"/>
      <c r="H27" s="279"/>
      <c r="I27" s="279"/>
      <c r="J27" s="645" t="s">
        <v>214</v>
      </c>
      <c r="K27" s="637"/>
      <c r="L27" s="637"/>
      <c r="M27" s="637"/>
      <c r="N27" s="637"/>
      <c r="O27" s="637"/>
      <c r="P27" s="638"/>
    </row>
    <row r="28" spans="2:16" ht="11.25" customHeight="1">
      <c r="B28" s="232"/>
      <c r="C28" s="279"/>
      <c r="D28" s="279"/>
      <c r="E28" s="279"/>
      <c r="F28" s="279"/>
      <c r="G28" s="279"/>
      <c r="H28" s="279"/>
      <c r="I28" s="279"/>
      <c r="J28" s="645"/>
      <c r="K28" s="637"/>
      <c r="L28" s="637"/>
      <c r="M28" s="637"/>
      <c r="N28" s="637"/>
      <c r="O28" s="637"/>
      <c r="P28" s="638"/>
    </row>
    <row r="29" spans="2:16" ht="12.75" customHeight="1">
      <c r="B29" s="232"/>
      <c r="C29" s="279"/>
      <c r="D29" s="279"/>
      <c r="E29" s="279"/>
      <c r="F29" s="279"/>
      <c r="G29" s="279"/>
      <c r="H29" s="279"/>
      <c r="I29" s="279"/>
      <c r="J29" s="645"/>
      <c r="K29" s="637"/>
      <c r="L29" s="637"/>
      <c r="M29" s="637"/>
      <c r="N29" s="637"/>
      <c r="O29" s="637"/>
      <c r="P29" s="638"/>
    </row>
    <row r="30" spans="2:16" ht="11.25" customHeight="1">
      <c r="B30" s="232"/>
      <c r="C30" s="279"/>
      <c r="D30" s="279"/>
      <c r="E30" s="279"/>
      <c r="F30" s="279"/>
      <c r="G30" s="279"/>
      <c r="H30" s="279"/>
      <c r="I30" s="279"/>
      <c r="J30" s="211"/>
      <c r="K30" s="514"/>
      <c r="L30" s="514"/>
      <c r="M30" s="514"/>
      <c r="N30" s="514"/>
      <c r="O30" s="514"/>
      <c r="P30" s="505"/>
    </row>
    <row r="31" spans="2:16" ht="11.25" customHeight="1">
      <c r="B31" s="232"/>
      <c r="C31" s="279"/>
      <c r="D31" s="279"/>
      <c r="E31" s="279"/>
      <c r="F31" s="279"/>
      <c r="G31" s="279"/>
      <c r="H31" s="279"/>
      <c r="I31" s="279"/>
      <c r="J31" s="639" t="s">
        <v>156</v>
      </c>
      <c r="K31" s="640"/>
      <c r="L31" s="640"/>
      <c r="M31" s="640"/>
      <c r="N31" s="640"/>
      <c r="O31" s="640"/>
      <c r="P31" s="641"/>
    </row>
    <row r="32" spans="2:16" ht="11.25" customHeight="1">
      <c r="B32" s="232"/>
      <c r="C32" s="279"/>
      <c r="D32" s="279"/>
      <c r="E32" s="279"/>
      <c r="F32" s="279"/>
      <c r="G32" s="279"/>
      <c r="H32" s="279"/>
      <c r="I32" s="279"/>
      <c r="J32" s="639"/>
      <c r="K32" s="640"/>
      <c r="L32" s="640"/>
      <c r="M32" s="640"/>
      <c r="N32" s="640"/>
      <c r="O32" s="640"/>
      <c r="P32" s="641"/>
    </row>
    <row r="33" spans="2:16" ht="11.25" customHeight="1">
      <c r="B33" s="232"/>
      <c r="C33" s="279"/>
      <c r="D33" s="279"/>
      <c r="E33" s="279"/>
      <c r="F33" s="279"/>
      <c r="G33" s="279"/>
      <c r="H33" s="279"/>
      <c r="I33" s="279"/>
      <c r="J33" s="639"/>
      <c r="K33" s="640"/>
      <c r="L33" s="640"/>
      <c r="M33" s="640"/>
      <c r="N33" s="640"/>
      <c r="O33" s="640"/>
      <c r="P33" s="641"/>
    </row>
    <row r="34" spans="2:16" ht="11.25" customHeight="1">
      <c r="B34" s="232"/>
      <c r="C34" s="279"/>
      <c r="D34" s="279"/>
      <c r="E34" s="279"/>
      <c r="F34" s="279"/>
      <c r="G34" s="279"/>
      <c r="H34" s="279"/>
      <c r="I34" s="279"/>
      <c r="J34" s="639"/>
      <c r="K34" s="640"/>
      <c r="L34" s="640"/>
      <c r="M34" s="640"/>
      <c r="N34" s="640"/>
      <c r="O34" s="640"/>
      <c r="P34" s="641"/>
    </row>
    <row r="35" spans="2:16" ht="11.25" customHeight="1">
      <c r="B35" s="232"/>
      <c r="C35" s="279"/>
      <c r="D35" s="279"/>
      <c r="E35" s="279"/>
      <c r="F35" s="279"/>
      <c r="G35" s="279"/>
      <c r="H35" s="279"/>
      <c r="I35" s="279"/>
      <c r="J35" s="639"/>
      <c r="K35" s="640"/>
      <c r="L35" s="640"/>
      <c r="M35" s="640"/>
      <c r="N35" s="640"/>
      <c r="O35" s="640"/>
      <c r="P35" s="641"/>
    </row>
    <row r="36" spans="2:16" ht="11.25" customHeight="1">
      <c r="B36" s="232"/>
      <c r="C36" s="279"/>
      <c r="D36" s="279"/>
      <c r="E36" s="279"/>
      <c r="F36" s="279"/>
      <c r="G36" s="279"/>
      <c r="H36" s="279"/>
      <c r="I36" s="279"/>
      <c r="J36" s="639"/>
      <c r="K36" s="640"/>
      <c r="L36" s="640"/>
      <c r="M36" s="640"/>
      <c r="N36" s="640"/>
      <c r="O36" s="640"/>
      <c r="P36" s="641"/>
    </row>
    <row r="37" spans="2:16" ht="11.25" customHeight="1">
      <c r="B37" s="232"/>
      <c r="C37" s="279"/>
      <c r="D37" s="279"/>
      <c r="E37" s="279"/>
      <c r="F37" s="279"/>
      <c r="G37" s="279"/>
      <c r="H37" s="279"/>
      <c r="I37" s="279"/>
      <c r="J37" s="639"/>
      <c r="K37" s="640"/>
      <c r="L37" s="640"/>
      <c r="M37" s="640"/>
      <c r="N37" s="640"/>
      <c r="O37" s="640"/>
      <c r="P37" s="641"/>
    </row>
    <row r="38" spans="2:16" ht="12.75" customHeight="1">
      <c r="B38" s="232"/>
      <c r="C38" s="279"/>
      <c r="D38" s="279"/>
      <c r="E38" s="279"/>
      <c r="F38" s="279"/>
      <c r="G38" s="279"/>
      <c r="H38" s="279"/>
      <c r="I38" s="279"/>
      <c r="J38" s="639"/>
      <c r="K38" s="640"/>
      <c r="L38" s="640"/>
      <c r="M38" s="640"/>
      <c r="N38" s="640"/>
      <c r="O38" s="640"/>
      <c r="P38" s="641"/>
    </row>
    <row r="39" spans="2:16" ht="12.75">
      <c r="B39" s="232"/>
      <c r="C39" s="279"/>
      <c r="D39" s="279"/>
      <c r="E39" s="279"/>
      <c r="F39" s="279"/>
      <c r="G39" s="279"/>
      <c r="H39" s="279"/>
      <c r="I39" s="279"/>
      <c r="J39" s="518"/>
      <c r="K39" s="519"/>
      <c r="L39" s="520"/>
      <c r="M39" s="520"/>
      <c r="N39" s="520"/>
      <c r="O39" s="520"/>
      <c r="P39" s="554"/>
    </row>
    <row r="40" spans="2:16" ht="12.75">
      <c r="B40" s="232"/>
      <c r="C40" s="279"/>
      <c r="D40" s="279"/>
      <c r="E40" s="279"/>
      <c r="F40" s="279"/>
      <c r="G40" s="279"/>
      <c r="H40" s="279"/>
      <c r="I40" s="279"/>
      <c r="J40" s="518"/>
      <c r="K40" s="519"/>
      <c r="L40" s="520"/>
      <c r="M40" s="520"/>
      <c r="N40" s="520"/>
      <c r="O40" s="520"/>
      <c r="P40" s="554"/>
    </row>
    <row r="41" spans="2:16" ht="12.75">
      <c r="B41" s="232"/>
      <c r="C41" s="279"/>
      <c r="D41" s="279"/>
      <c r="E41" s="279"/>
      <c r="F41" s="279"/>
      <c r="G41" s="279"/>
      <c r="H41" s="279"/>
      <c r="I41" s="279"/>
      <c r="J41" s="521"/>
      <c r="K41" s="522"/>
      <c r="L41" s="523"/>
      <c r="M41" s="523"/>
      <c r="N41" s="523"/>
      <c r="O41" s="523"/>
      <c r="P41" s="555"/>
    </row>
    <row r="42" spans="2:16" ht="11.25">
      <c r="B42" s="232"/>
      <c r="C42" s="279"/>
      <c r="D42" s="279"/>
      <c r="E42" s="279"/>
      <c r="F42" s="279"/>
      <c r="G42" s="279"/>
      <c r="H42" s="279"/>
      <c r="I42" s="279"/>
      <c r="J42" s="279"/>
      <c r="K42" s="279"/>
      <c r="L42" s="320"/>
      <c r="M42" s="320"/>
      <c r="N42" s="320"/>
      <c r="O42" s="320"/>
      <c r="P42" s="354"/>
    </row>
    <row r="43" spans="2:16" ht="11.25">
      <c r="B43" s="232"/>
      <c r="C43" s="279"/>
      <c r="D43" s="279"/>
      <c r="E43" s="279"/>
      <c r="F43" s="279"/>
      <c r="G43" s="279"/>
      <c r="H43" s="279"/>
      <c r="I43" s="279"/>
      <c r="J43" s="279"/>
      <c r="K43" s="279"/>
      <c r="L43" s="320"/>
      <c r="M43" s="320"/>
      <c r="N43" s="320"/>
      <c r="O43" s="320"/>
      <c r="P43" s="354"/>
    </row>
    <row r="44" spans="2:16" ht="15.75">
      <c r="B44" s="235" t="s">
        <v>152</v>
      </c>
      <c r="C44" s="279"/>
      <c r="D44" s="279"/>
      <c r="E44" s="279"/>
      <c r="F44" s="279"/>
      <c r="G44" s="279"/>
      <c r="H44" s="279"/>
      <c r="I44" s="279"/>
      <c r="J44" s="279"/>
      <c r="K44" s="279"/>
      <c r="L44" s="320"/>
      <c r="M44" s="320"/>
      <c r="N44" s="320"/>
      <c r="O44" s="320"/>
      <c r="P44" s="354"/>
    </row>
    <row r="45" spans="2:16" ht="12.75">
      <c r="B45" s="556"/>
      <c r="C45" s="279"/>
      <c r="D45" s="279"/>
      <c r="E45" s="279"/>
      <c r="F45" s="279"/>
      <c r="G45" s="279"/>
      <c r="H45" s="279"/>
      <c r="I45" s="279"/>
      <c r="J45" s="279"/>
      <c r="K45" s="279"/>
      <c r="L45" s="320"/>
      <c r="M45" s="320"/>
      <c r="N45" s="320"/>
      <c r="O45" s="320"/>
      <c r="P45" s="354"/>
    </row>
    <row r="46" spans="2:16" ht="12.75">
      <c r="B46" s="556"/>
      <c r="C46" s="279"/>
      <c r="D46" s="279"/>
      <c r="E46" s="279"/>
      <c r="F46" s="279"/>
      <c r="G46" s="279"/>
      <c r="H46" s="279"/>
      <c r="I46" s="279"/>
      <c r="J46" s="279"/>
      <c r="K46" s="279"/>
      <c r="L46" s="320"/>
      <c r="M46" s="320"/>
      <c r="N46" s="320"/>
      <c r="O46" s="320"/>
      <c r="P46" s="354"/>
    </row>
    <row r="47" spans="2:16" ht="12.75">
      <c r="B47" s="556"/>
      <c r="C47" s="279"/>
      <c r="D47" s="279"/>
      <c r="E47" s="279"/>
      <c r="F47" s="279"/>
      <c r="G47" s="279"/>
      <c r="H47" s="279"/>
      <c r="I47" s="279"/>
      <c r="J47" s="279"/>
      <c r="K47" s="279"/>
      <c r="L47" s="320"/>
      <c r="M47" s="320"/>
      <c r="N47" s="320"/>
      <c r="O47" s="320"/>
      <c r="P47" s="354"/>
    </row>
    <row r="48" spans="2:16" ht="12.75">
      <c r="B48" s="556"/>
      <c r="C48" s="279"/>
      <c r="D48" s="279"/>
      <c r="E48" s="279"/>
      <c r="F48" s="279"/>
      <c r="G48" s="279"/>
      <c r="H48" s="279"/>
      <c r="I48" s="279"/>
      <c r="J48" s="279"/>
      <c r="K48" s="279"/>
      <c r="L48" s="320"/>
      <c r="M48" s="320"/>
      <c r="N48" s="320"/>
      <c r="O48" s="320"/>
      <c r="P48" s="354"/>
    </row>
    <row r="49" spans="2:16" ht="12.75">
      <c r="B49" s="556"/>
      <c r="C49" s="279"/>
      <c r="D49" s="279"/>
      <c r="E49" s="279"/>
      <c r="F49" s="279"/>
      <c r="G49" s="279"/>
      <c r="H49" s="279"/>
      <c r="I49" s="279"/>
      <c r="J49" s="279"/>
      <c r="K49" s="279"/>
      <c r="L49" s="320"/>
      <c r="M49" s="320"/>
      <c r="N49" s="320"/>
      <c r="O49" s="320"/>
      <c r="P49" s="354"/>
    </row>
    <row r="50" spans="2:16" ht="12.75">
      <c r="B50" s="556"/>
      <c r="C50" s="279"/>
      <c r="D50" s="279"/>
      <c r="E50" s="279"/>
      <c r="F50" s="279"/>
      <c r="G50" s="279"/>
      <c r="H50" s="279"/>
      <c r="I50" s="279"/>
      <c r="J50" s="279"/>
      <c r="K50" s="279"/>
      <c r="L50" s="320"/>
      <c r="M50" s="320"/>
      <c r="N50" s="320"/>
      <c r="O50" s="320"/>
      <c r="P50" s="354"/>
    </row>
    <row r="51" spans="2:16" ht="12.75">
      <c r="B51" s="556"/>
      <c r="C51" s="279"/>
      <c r="D51" s="279"/>
      <c r="E51" s="279"/>
      <c r="F51" s="279"/>
      <c r="G51" s="279"/>
      <c r="H51" s="279"/>
      <c r="I51" s="279"/>
      <c r="J51" s="279"/>
      <c r="K51" s="279"/>
      <c r="L51" s="320"/>
      <c r="M51" s="320"/>
      <c r="N51" s="320"/>
      <c r="O51" s="320"/>
      <c r="P51" s="354"/>
    </row>
    <row r="52" spans="2:16" ht="12.75">
      <c r="B52" s="556"/>
      <c r="C52" s="279"/>
      <c r="D52" s="279"/>
      <c r="E52" s="279"/>
      <c r="F52" s="279"/>
      <c r="G52" s="279"/>
      <c r="H52" s="279"/>
      <c r="I52" s="279"/>
      <c r="J52" s="279"/>
      <c r="K52" s="279"/>
      <c r="L52" s="320"/>
      <c r="M52" s="320"/>
      <c r="N52" s="320"/>
      <c r="O52" s="320"/>
      <c r="P52" s="354"/>
    </row>
    <row r="53" spans="2:16" ht="12.75">
      <c r="B53" s="556"/>
      <c r="C53" s="279"/>
      <c r="D53" s="279"/>
      <c r="E53" s="279"/>
      <c r="F53" s="279"/>
      <c r="G53" s="279"/>
      <c r="H53" s="279"/>
      <c r="I53" s="279"/>
      <c r="J53" s="279"/>
      <c r="K53" s="279"/>
      <c r="L53" s="320"/>
      <c r="M53" s="320"/>
      <c r="N53" s="320"/>
      <c r="O53" s="320"/>
      <c r="P53" s="354"/>
    </row>
    <row r="54" spans="2:16" ht="12.75">
      <c r="B54" s="556"/>
      <c r="C54" s="279"/>
      <c r="D54" s="279"/>
      <c r="E54" s="279"/>
      <c r="F54" s="279"/>
      <c r="G54" s="279"/>
      <c r="H54" s="279"/>
      <c r="I54" s="279"/>
      <c r="J54" s="279"/>
      <c r="K54" s="279"/>
      <c r="L54" s="320"/>
      <c r="M54" s="320"/>
      <c r="N54" s="320"/>
      <c r="O54" s="320"/>
      <c r="P54" s="354"/>
    </row>
    <row r="55" spans="2:16" ht="12.75">
      <c r="B55" s="556"/>
      <c r="C55" s="279"/>
      <c r="D55" s="279"/>
      <c r="E55" s="279"/>
      <c r="F55" s="279"/>
      <c r="G55" s="279"/>
      <c r="H55" s="279"/>
      <c r="I55" s="279"/>
      <c r="J55" s="279"/>
      <c r="K55" s="279"/>
      <c r="L55" s="320"/>
      <c r="M55" s="320"/>
      <c r="N55" s="320"/>
      <c r="O55" s="320"/>
      <c r="P55" s="354"/>
    </row>
    <row r="56" spans="2:16" ht="12.75">
      <c r="B56" s="556"/>
      <c r="C56" s="279"/>
      <c r="D56" s="279"/>
      <c r="E56" s="279"/>
      <c r="F56" s="279"/>
      <c r="G56" s="279"/>
      <c r="H56" s="279"/>
      <c r="I56" s="279"/>
      <c r="J56" s="279"/>
      <c r="K56" s="279"/>
      <c r="L56" s="320"/>
      <c r="M56" s="320"/>
      <c r="N56" s="320"/>
      <c r="O56" s="320"/>
      <c r="P56" s="354"/>
    </row>
    <row r="57" spans="2:16" ht="12.75">
      <c r="B57" s="556"/>
      <c r="C57" s="279"/>
      <c r="D57" s="279"/>
      <c r="E57" s="279"/>
      <c r="F57" s="279"/>
      <c r="G57" s="279"/>
      <c r="H57" s="279"/>
      <c r="I57" s="279"/>
      <c r="J57" s="279"/>
      <c r="K57" s="279"/>
      <c r="L57" s="320"/>
      <c r="M57" s="320"/>
      <c r="N57" s="320"/>
      <c r="O57" s="320"/>
      <c r="P57" s="354"/>
    </row>
    <row r="58" spans="2:16" ht="12.75">
      <c r="B58" s="556"/>
      <c r="C58" s="279"/>
      <c r="D58" s="279"/>
      <c r="E58" s="279"/>
      <c r="F58" s="279"/>
      <c r="G58" s="279"/>
      <c r="H58" s="279"/>
      <c r="I58" s="279"/>
      <c r="J58" s="279"/>
      <c r="K58" s="279"/>
      <c r="L58" s="320"/>
      <c r="M58" s="320"/>
      <c r="N58" s="320"/>
      <c r="O58" s="320"/>
      <c r="P58" s="354"/>
    </row>
    <row r="59" spans="2:16" ht="12.75">
      <c r="B59" s="556"/>
      <c r="C59" s="279"/>
      <c r="D59" s="279"/>
      <c r="E59" s="279"/>
      <c r="F59" s="279"/>
      <c r="G59" s="279"/>
      <c r="H59" s="279"/>
      <c r="I59" s="279"/>
      <c r="J59" s="279"/>
      <c r="K59" s="279"/>
      <c r="L59" s="320"/>
      <c r="M59" s="320"/>
      <c r="N59" s="320"/>
      <c r="O59" s="320"/>
      <c r="P59" s="354"/>
    </row>
    <row r="60" spans="2:16" ht="12.75">
      <c r="B60" s="556"/>
      <c r="C60" s="279"/>
      <c r="D60" s="279"/>
      <c r="E60" s="279"/>
      <c r="F60" s="279"/>
      <c r="G60" s="279"/>
      <c r="H60" s="279"/>
      <c r="I60" s="279"/>
      <c r="J60" s="279"/>
      <c r="K60" s="279"/>
      <c r="L60" s="320"/>
      <c r="M60" s="320"/>
      <c r="N60" s="320"/>
      <c r="O60" s="320"/>
      <c r="P60" s="354"/>
    </row>
    <row r="61" spans="2:16" ht="12.75">
      <c r="B61" s="556"/>
      <c r="C61" s="279"/>
      <c r="D61" s="279"/>
      <c r="E61" s="279"/>
      <c r="F61" s="279"/>
      <c r="G61" s="279"/>
      <c r="H61" s="279"/>
      <c r="I61" s="279"/>
      <c r="J61" s="279"/>
      <c r="K61" s="279"/>
      <c r="L61" s="320"/>
      <c r="M61" s="320"/>
      <c r="N61" s="320"/>
      <c r="O61" s="320"/>
      <c r="P61" s="354"/>
    </row>
    <row r="62" spans="2:16" ht="12.75">
      <c r="B62" s="556"/>
      <c r="C62" s="279"/>
      <c r="D62" s="279"/>
      <c r="E62" s="279"/>
      <c r="F62" s="279"/>
      <c r="G62" s="279"/>
      <c r="H62" s="279"/>
      <c r="I62" s="279"/>
      <c r="J62" s="279"/>
      <c r="K62" s="279"/>
      <c r="L62" s="320"/>
      <c r="M62" s="320"/>
      <c r="N62" s="320"/>
      <c r="O62" s="320"/>
      <c r="P62" s="354"/>
    </row>
    <row r="63" spans="2:16" ht="12.75">
      <c r="B63" s="556"/>
      <c r="C63" s="279"/>
      <c r="D63" s="279"/>
      <c r="E63" s="279"/>
      <c r="F63" s="279"/>
      <c r="G63" s="279"/>
      <c r="H63" s="279"/>
      <c r="I63" s="279"/>
      <c r="J63" s="279"/>
      <c r="K63" s="279"/>
      <c r="L63" s="320"/>
      <c r="M63" s="320"/>
      <c r="N63" s="320"/>
      <c r="O63" s="320"/>
      <c r="P63" s="354"/>
    </row>
    <row r="64" spans="2:16" ht="12.75">
      <c r="B64" s="556"/>
      <c r="C64" s="279"/>
      <c r="D64" s="279"/>
      <c r="E64" s="279"/>
      <c r="F64" s="279"/>
      <c r="G64" s="279"/>
      <c r="H64" s="279"/>
      <c r="I64" s="279"/>
      <c r="J64" s="279"/>
      <c r="K64" s="279"/>
      <c r="L64" s="320"/>
      <c r="M64" s="320"/>
      <c r="N64" s="320"/>
      <c r="O64" s="320"/>
      <c r="P64" s="354"/>
    </row>
    <row r="65" spans="2:16" ht="12.75">
      <c r="B65" s="556"/>
      <c r="C65" s="279"/>
      <c r="D65" s="279"/>
      <c r="E65" s="279"/>
      <c r="F65" s="279"/>
      <c r="G65" s="279"/>
      <c r="H65" s="279"/>
      <c r="I65" s="279"/>
      <c r="J65" s="279"/>
      <c r="K65" s="279"/>
      <c r="L65" s="320"/>
      <c r="M65" s="320"/>
      <c r="N65" s="320"/>
      <c r="O65" s="320"/>
      <c r="P65" s="354"/>
    </row>
    <row r="66" spans="2:16" ht="12.75">
      <c r="B66" s="556"/>
      <c r="C66" s="279"/>
      <c r="D66" s="279"/>
      <c r="E66" s="279"/>
      <c r="F66" s="279"/>
      <c r="G66" s="279"/>
      <c r="H66" s="279"/>
      <c r="I66" s="279"/>
      <c r="J66" s="279"/>
      <c r="K66" s="279"/>
      <c r="L66" s="320"/>
      <c r="M66" s="320"/>
      <c r="N66" s="320"/>
      <c r="O66" s="320"/>
      <c r="P66" s="354"/>
    </row>
    <row r="67" spans="2:16" ht="12.75">
      <c r="B67" s="556"/>
      <c r="C67" s="279"/>
      <c r="D67" s="279"/>
      <c r="E67" s="279"/>
      <c r="F67" s="279"/>
      <c r="G67" s="279"/>
      <c r="H67" s="279"/>
      <c r="I67" s="279"/>
      <c r="J67" s="279"/>
      <c r="K67" s="279"/>
      <c r="L67" s="320"/>
      <c r="M67" s="320"/>
      <c r="N67" s="320"/>
      <c r="O67" s="320"/>
      <c r="P67" s="354"/>
    </row>
    <row r="68" spans="2:16" ht="12.75">
      <c r="B68" s="556"/>
      <c r="C68" s="279"/>
      <c r="D68" s="279"/>
      <c r="E68" s="279"/>
      <c r="F68" s="279"/>
      <c r="G68" s="279"/>
      <c r="H68" s="279"/>
      <c r="I68" s="279"/>
      <c r="J68" s="279"/>
      <c r="K68" s="279"/>
      <c r="L68" s="320"/>
      <c r="M68" s="320"/>
      <c r="N68" s="320"/>
      <c r="O68" s="320"/>
      <c r="P68" s="354"/>
    </row>
    <row r="69" spans="2:16" ht="12.75">
      <c r="B69" s="556"/>
      <c r="C69" s="279"/>
      <c r="D69" s="279"/>
      <c r="E69" s="279"/>
      <c r="F69" s="279"/>
      <c r="G69" s="279"/>
      <c r="H69" s="279"/>
      <c r="I69" s="279"/>
      <c r="J69" s="279"/>
      <c r="K69" s="279"/>
      <c r="L69" s="320"/>
      <c r="M69" s="320"/>
      <c r="N69" s="320"/>
      <c r="O69" s="320"/>
      <c r="P69" s="354"/>
    </row>
    <row r="70" spans="2:16" ht="12.75">
      <c r="B70" s="556"/>
      <c r="C70" s="279"/>
      <c r="D70" s="279"/>
      <c r="E70" s="279"/>
      <c r="F70" s="279"/>
      <c r="G70" s="279"/>
      <c r="H70" s="279"/>
      <c r="I70" s="279"/>
      <c r="J70" s="279"/>
      <c r="K70" s="279"/>
      <c r="L70" s="320"/>
      <c r="M70" s="320"/>
      <c r="N70" s="320"/>
      <c r="O70" s="320"/>
      <c r="P70" s="354"/>
    </row>
    <row r="71" spans="2:17" ht="12.75" customHeight="1">
      <c r="B71" s="763" t="s">
        <v>11</v>
      </c>
      <c r="C71" s="764"/>
      <c r="D71" s="764"/>
      <c r="E71" s="764"/>
      <c r="F71" s="764"/>
      <c r="G71" s="764"/>
      <c r="H71" s="764"/>
      <c r="I71" s="279"/>
      <c r="J71" s="774" t="s">
        <v>16</v>
      </c>
      <c r="K71" s="774"/>
      <c r="L71" s="774"/>
      <c r="M71" s="774"/>
      <c r="N71" s="774"/>
      <c r="O71" s="774"/>
      <c r="P71" s="775"/>
      <c r="Q71" s="134"/>
    </row>
    <row r="72" spans="2:17" ht="12.75" customHeight="1">
      <c r="B72" s="763"/>
      <c r="C72" s="764"/>
      <c r="D72" s="764"/>
      <c r="E72" s="764"/>
      <c r="F72" s="764"/>
      <c r="G72" s="764"/>
      <c r="H72" s="764"/>
      <c r="I72" s="279"/>
      <c r="J72" s="774"/>
      <c r="K72" s="774"/>
      <c r="L72" s="774"/>
      <c r="M72" s="774"/>
      <c r="N72" s="774"/>
      <c r="O72" s="774"/>
      <c r="P72" s="775"/>
      <c r="Q72" s="134"/>
    </row>
    <row r="73" spans="2:17" ht="12.75" customHeight="1">
      <c r="B73" s="763"/>
      <c r="C73" s="764"/>
      <c r="D73" s="764"/>
      <c r="E73" s="764"/>
      <c r="F73" s="764"/>
      <c r="G73" s="764"/>
      <c r="H73" s="764"/>
      <c r="I73" s="279"/>
      <c r="J73" s="774"/>
      <c r="K73" s="774"/>
      <c r="L73" s="774"/>
      <c r="M73" s="774"/>
      <c r="N73" s="774"/>
      <c r="O73" s="774"/>
      <c r="P73" s="775"/>
      <c r="Q73" s="134"/>
    </row>
    <row r="74" spans="2:17" ht="12.75" customHeight="1">
      <c r="B74" s="763"/>
      <c r="C74" s="764"/>
      <c r="D74" s="764"/>
      <c r="E74" s="764"/>
      <c r="F74" s="764"/>
      <c r="G74" s="764"/>
      <c r="H74" s="764"/>
      <c r="I74" s="279"/>
      <c r="J74" s="774"/>
      <c r="K74" s="774"/>
      <c r="L74" s="774"/>
      <c r="M74" s="774"/>
      <c r="N74" s="774"/>
      <c r="O74" s="774"/>
      <c r="P74" s="775"/>
      <c r="Q74" s="134"/>
    </row>
    <row r="75" spans="2:17" ht="12.75" customHeight="1">
      <c r="B75" s="763"/>
      <c r="C75" s="764"/>
      <c r="D75" s="764"/>
      <c r="E75" s="764"/>
      <c r="F75" s="764"/>
      <c r="G75" s="764"/>
      <c r="H75" s="764"/>
      <c r="I75" s="279"/>
      <c r="J75" s="774"/>
      <c r="K75" s="774"/>
      <c r="L75" s="774"/>
      <c r="M75" s="774"/>
      <c r="N75" s="774"/>
      <c r="O75" s="774"/>
      <c r="P75" s="775"/>
      <c r="Q75" s="134"/>
    </row>
    <row r="76" spans="2:17" ht="12.75" customHeight="1">
      <c r="B76" s="763"/>
      <c r="C76" s="764"/>
      <c r="D76" s="764"/>
      <c r="E76" s="764"/>
      <c r="F76" s="764"/>
      <c r="G76" s="764"/>
      <c r="H76" s="764"/>
      <c r="I76" s="279"/>
      <c r="J76" s="774"/>
      <c r="K76" s="774"/>
      <c r="L76" s="774"/>
      <c r="M76" s="774"/>
      <c r="N76" s="774"/>
      <c r="O76" s="774"/>
      <c r="P76" s="775"/>
      <c r="Q76" s="134"/>
    </row>
    <row r="77" spans="2:17" ht="12.75" customHeight="1">
      <c r="B77" s="763"/>
      <c r="C77" s="764"/>
      <c r="D77" s="764"/>
      <c r="E77" s="764"/>
      <c r="F77" s="764"/>
      <c r="G77" s="764"/>
      <c r="H77" s="764"/>
      <c r="I77" s="279"/>
      <c r="J77" s="774"/>
      <c r="K77" s="774"/>
      <c r="L77" s="774"/>
      <c r="M77" s="774"/>
      <c r="N77" s="774"/>
      <c r="O77" s="774"/>
      <c r="P77" s="775"/>
      <c r="Q77" s="134"/>
    </row>
    <row r="78" spans="2:17" ht="12.75" customHeight="1">
      <c r="B78" s="763"/>
      <c r="C78" s="764"/>
      <c r="D78" s="764"/>
      <c r="E78" s="764"/>
      <c r="F78" s="764"/>
      <c r="G78" s="764"/>
      <c r="H78" s="764"/>
      <c r="I78" s="279"/>
      <c r="J78" s="774"/>
      <c r="K78" s="774"/>
      <c r="L78" s="774"/>
      <c r="M78" s="774"/>
      <c r="N78" s="774"/>
      <c r="O78" s="774"/>
      <c r="P78" s="775"/>
      <c r="Q78" s="134"/>
    </row>
    <row r="79" spans="2:17" ht="12.75" customHeight="1">
      <c r="B79" s="763"/>
      <c r="C79" s="764"/>
      <c r="D79" s="764"/>
      <c r="E79" s="764"/>
      <c r="F79" s="764"/>
      <c r="G79" s="764"/>
      <c r="H79" s="764"/>
      <c r="I79" s="279"/>
      <c r="J79" s="774"/>
      <c r="K79" s="774"/>
      <c r="L79" s="774"/>
      <c r="M79" s="774"/>
      <c r="N79" s="774"/>
      <c r="O79" s="774"/>
      <c r="P79" s="775"/>
      <c r="Q79" s="134"/>
    </row>
    <row r="80" spans="2:16" ht="15.75">
      <c r="B80" s="235" t="s">
        <v>153</v>
      </c>
      <c r="C80" s="279"/>
      <c r="D80" s="279"/>
      <c r="E80" s="279"/>
      <c r="F80" s="279"/>
      <c r="G80" s="279"/>
      <c r="H80" s="279"/>
      <c r="I80" s="279"/>
      <c r="J80" s="279"/>
      <c r="K80" s="279"/>
      <c r="L80" s="320"/>
      <c r="M80" s="320"/>
      <c r="N80" s="320"/>
      <c r="O80" s="320"/>
      <c r="P80" s="354"/>
    </row>
    <row r="81" spans="2:16" ht="12" thickBot="1">
      <c r="B81" s="245"/>
      <c r="C81" s="212"/>
      <c r="D81" s="212"/>
      <c r="E81" s="212"/>
      <c r="F81" s="212"/>
      <c r="G81" s="212"/>
      <c r="H81" s="212"/>
      <c r="I81" s="212"/>
      <c r="J81" s="212"/>
      <c r="K81" s="212"/>
      <c r="L81" s="212"/>
      <c r="M81" s="212"/>
      <c r="N81" s="212"/>
      <c r="O81" s="212"/>
      <c r="P81" s="246"/>
    </row>
    <row r="82" spans="2:17" ht="15.75" thickBot="1">
      <c r="B82" s="557">
        <v>-1</v>
      </c>
      <c r="C82" s="765" t="s">
        <v>58</v>
      </c>
      <c r="D82" s="766"/>
      <c r="E82" s="766"/>
      <c r="F82" s="766"/>
      <c r="G82" s="766"/>
      <c r="H82" s="766"/>
      <c r="I82" s="772"/>
      <c r="J82" s="765" t="s">
        <v>59</v>
      </c>
      <c r="K82" s="766"/>
      <c r="L82" s="766"/>
      <c r="M82" s="766"/>
      <c r="N82" s="766"/>
      <c r="O82" s="766"/>
      <c r="P82" s="773"/>
      <c r="Q82" s="314"/>
    </row>
    <row r="83" spans="2:17" ht="71.25">
      <c r="B83" s="558" t="s">
        <v>40</v>
      </c>
      <c r="C83" s="524" t="s">
        <v>61</v>
      </c>
      <c r="D83" s="525" t="s">
        <v>31</v>
      </c>
      <c r="E83" s="525" t="s">
        <v>32</v>
      </c>
      <c r="F83" s="525" t="s">
        <v>33</v>
      </c>
      <c r="G83" s="525" t="s">
        <v>190</v>
      </c>
      <c r="H83" s="525" t="s">
        <v>34</v>
      </c>
      <c r="I83" s="526" t="s">
        <v>35</v>
      </c>
      <c r="J83" s="524" t="s">
        <v>71</v>
      </c>
      <c r="K83" s="525" t="s">
        <v>36</v>
      </c>
      <c r="L83" s="525" t="s">
        <v>37</v>
      </c>
      <c r="M83" s="525" t="s">
        <v>165</v>
      </c>
      <c r="N83" s="525" t="s">
        <v>223</v>
      </c>
      <c r="O83" s="525" t="s">
        <v>38</v>
      </c>
      <c r="P83" s="559" t="s">
        <v>39</v>
      </c>
      <c r="Q83" s="527"/>
    </row>
    <row r="84" spans="2:17" ht="14.25">
      <c r="B84" s="305">
        <v>40634</v>
      </c>
      <c r="C84" s="528">
        <v>-22643.284900000002</v>
      </c>
      <c r="D84" s="529">
        <f>C84</f>
        <v>-22643.284900000002</v>
      </c>
      <c r="E84" s="282">
        <f>C84/1000</f>
        <v>-22.6432849</v>
      </c>
      <c r="F84" s="530">
        <f>D84/10^6</f>
        <v>-0.0226432849</v>
      </c>
      <c r="G84" s="280">
        <v>2.72</v>
      </c>
      <c r="H84" s="280">
        <v>0</v>
      </c>
      <c r="I84" s="531">
        <v>11.77</v>
      </c>
      <c r="J84" s="528">
        <v>10149.531200000007</v>
      </c>
      <c r="K84" s="529">
        <f>J84</f>
        <v>10149.531200000007</v>
      </c>
      <c r="L84" s="530">
        <f>J84/1000</f>
        <v>10.149531200000007</v>
      </c>
      <c r="M84" s="338">
        <f>K84/1000000</f>
        <v>0.010149531200000006</v>
      </c>
      <c r="N84" s="280">
        <v>2.48</v>
      </c>
      <c r="O84" s="280">
        <v>0</v>
      </c>
      <c r="P84" s="560">
        <v>7.67</v>
      </c>
      <c r="Q84" s="532"/>
    </row>
    <row r="85" spans="2:17" ht="14.25">
      <c r="B85" s="305">
        <v>40664</v>
      </c>
      <c r="C85" s="528">
        <v>19683.5463</v>
      </c>
      <c r="D85" s="529">
        <f aca="true" t="shared" si="0" ref="D85:D90">IF(C85="","",(C85+D84))</f>
        <v>-2959.7386000000006</v>
      </c>
      <c r="E85" s="282">
        <f>IF(C85="","",C85/1000)</f>
        <v>19.683546300000003</v>
      </c>
      <c r="F85" s="530">
        <f>IF(D85="","",D85/10^6)</f>
        <v>-0.0029597386000000006</v>
      </c>
      <c r="G85" s="280">
        <v>0.87</v>
      </c>
      <c r="H85" s="280">
        <v>0</v>
      </c>
      <c r="I85" s="531">
        <v>4.2</v>
      </c>
      <c r="J85" s="528">
        <v>56074.582</v>
      </c>
      <c r="K85" s="529">
        <f>IF(J85="","",J85+K84)</f>
        <v>66224.1132</v>
      </c>
      <c r="L85" s="530">
        <f>IF(J85="","",J85/1000)</f>
        <v>56.074582</v>
      </c>
      <c r="M85" s="338">
        <f>IF(K85="","",K85/1000000)</f>
        <v>0.0662241132</v>
      </c>
      <c r="N85" s="280">
        <v>2.03</v>
      </c>
      <c r="O85" s="280">
        <v>0.08</v>
      </c>
      <c r="P85" s="560">
        <v>3.92</v>
      </c>
      <c r="Q85" s="532"/>
    </row>
    <row r="86" spans="2:17" ht="14.25">
      <c r="B86" s="305">
        <v>40695</v>
      </c>
      <c r="C86" s="528">
        <v>27795.060599999997</v>
      </c>
      <c r="D86" s="529">
        <f t="shared" si="0"/>
        <v>24835.321999999996</v>
      </c>
      <c r="E86" s="282">
        <f>IF(C86="","",C86/1000)</f>
        <v>27.795060599999996</v>
      </c>
      <c r="F86" s="530">
        <f>IF(D86="","",D86/10^6)</f>
        <v>0.024835321999999996</v>
      </c>
      <c r="G86" s="280">
        <v>0.57</v>
      </c>
      <c r="H86" s="280">
        <v>0</v>
      </c>
      <c r="I86" s="531">
        <v>3.55</v>
      </c>
      <c r="J86" s="528">
        <v>76682.926</v>
      </c>
      <c r="K86" s="529">
        <f>IF(J86="","",J86+K85)</f>
        <v>142907.0392</v>
      </c>
      <c r="L86" s="530">
        <f>IF(J86="","",J86/1000)</f>
        <v>76.68292600000001</v>
      </c>
      <c r="M86" s="338">
        <f>IF(K86="","",K86/1000000)</f>
        <v>0.1429070392</v>
      </c>
      <c r="N86" s="280">
        <v>1.67</v>
      </c>
      <c r="O86" s="280">
        <v>0.07</v>
      </c>
      <c r="P86" s="560">
        <v>4.59</v>
      </c>
      <c r="Q86" s="532"/>
    </row>
    <row r="87" spans="2:17" ht="14.25">
      <c r="B87" s="305">
        <v>40725</v>
      </c>
      <c r="C87" s="528"/>
      <c r="D87" s="529">
        <f t="shared" si="0"/>
      </c>
      <c r="E87" s="282">
        <f>IF(C87="","",C87/1000)</f>
      </c>
      <c r="F87" s="530">
        <f>IF(D87="","",D87/10^6)</f>
      </c>
      <c r="G87" s="280"/>
      <c r="H87" s="280"/>
      <c r="I87" s="531"/>
      <c r="J87" s="528"/>
      <c r="K87" s="529">
        <f>IF(J87="","",J87+K86)</f>
      </c>
      <c r="L87" s="530">
        <f>IF(J87="","",J87/1000)</f>
      </c>
      <c r="M87" s="338">
        <f>IF(K87="","",K87/1000000)</f>
      </c>
      <c r="N87" s="280"/>
      <c r="O87" s="280"/>
      <c r="P87" s="560"/>
      <c r="Q87" s="532"/>
    </row>
    <row r="88" spans="2:17" ht="14.25">
      <c r="B88" s="305">
        <v>40756</v>
      </c>
      <c r="C88" s="528"/>
      <c r="D88" s="529">
        <f t="shared" si="0"/>
      </c>
      <c r="E88" s="282">
        <f>IF(C88="","",C88/1000)</f>
      </c>
      <c r="F88" s="530">
        <f aca="true" t="shared" si="1" ref="F88:F95">IF(D88="","",D88/10^6)</f>
      </c>
      <c r="G88" s="280"/>
      <c r="H88" s="280"/>
      <c r="I88" s="336"/>
      <c r="J88" s="528"/>
      <c r="K88" s="529">
        <f>IF(J88="","",J88+K87)</f>
      </c>
      <c r="L88" s="530">
        <f>IF(J88="","",J88/1000)</f>
      </c>
      <c r="M88" s="338">
        <f aca="true" t="shared" si="2" ref="M88:M95">IF(K88="","",K88/1000000)</f>
      </c>
      <c r="N88" s="280"/>
      <c r="O88" s="280"/>
      <c r="P88" s="561"/>
      <c r="Q88" s="532"/>
    </row>
    <row r="89" spans="2:17" ht="14.25">
      <c r="B89" s="305">
        <v>40787</v>
      </c>
      <c r="C89" s="528"/>
      <c r="D89" s="529">
        <f t="shared" si="0"/>
      </c>
      <c r="E89" s="282">
        <f>IF(C89="","",C89/1000)</f>
      </c>
      <c r="F89" s="530">
        <f t="shared" si="1"/>
      </c>
      <c r="G89" s="280"/>
      <c r="H89" s="280"/>
      <c r="I89" s="336"/>
      <c r="J89" s="528"/>
      <c r="K89" s="529">
        <f>IF(J89="","",J89+K88)</f>
      </c>
      <c r="L89" s="530">
        <f>IF(J89="","",J89/1000)</f>
      </c>
      <c r="M89" s="338">
        <f t="shared" si="2"/>
      </c>
      <c r="N89" s="280"/>
      <c r="O89" s="280"/>
      <c r="P89" s="561"/>
      <c r="Q89" s="532"/>
    </row>
    <row r="90" spans="2:17" ht="14.25">
      <c r="B90" s="305">
        <v>40817</v>
      </c>
      <c r="C90" s="528"/>
      <c r="D90" s="529">
        <f t="shared" si="0"/>
      </c>
      <c r="E90" s="282">
        <f aca="true" t="shared" si="3" ref="E90:E95">IF(C90="","",C90/1000)</f>
      </c>
      <c r="F90" s="530">
        <f>IF(D90="","",D90/10^6)</f>
      </c>
      <c r="G90" s="280"/>
      <c r="H90" s="280"/>
      <c r="I90" s="336"/>
      <c r="J90" s="528"/>
      <c r="K90" s="529">
        <f aca="true" t="shared" si="4" ref="K90:K95">IF(J90="","",J90+K89)</f>
      </c>
      <c r="L90" s="530">
        <f aca="true" t="shared" si="5" ref="L90:L95">IF(J90="","",J90/1000)</f>
      </c>
      <c r="M90" s="338">
        <f>IF(K90="","",K90/1000000)</f>
      </c>
      <c r="N90" s="280"/>
      <c r="O90" s="280"/>
      <c r="P90" s="561"/>
      <c r="Q90" s="532"/>
    </row>
    <row r="91" spans="2:17" ht="14.25">
      <c r="B91" s="305">
        <v>40848</v>
      </c>
      <c r="C91" s="528"/>
      <c r="D91" s="529">
        <f>IF(C91="","",(C91+D90))</f>
      </c>
      <c r="E91" s="282">
        <f t="shared" si="3"/>
      </c>
      <c r="F91" s="530">
        <f>IF(D91="","",D91/10^6)</f>
      </c>
      <c r="G91" s="280"/>
      <c r="H91" s="280"/>
      <c r="I91" s="336"/>
      <c r="J91" s="528"/>
      <c r="K91" s="529">
        <f t="shared" si="4"/>
      </c>
      <c r="L91" s="530">
        <f t="shared" si="5"/>
      </c>
      <c r="M91" s="338">
        <f>IF(K91="","",K91/1000000)</f>
      </c>
      <c r="N91" s="280"/>
      <c r="O91" s="280"/>
      <c r="P91" s="561"/>
      <c r="Q91" s="532"/>
    </row>
    <row r="92" spans="2:17" ht="14.25">
      <c r="B92" s="305">
        <v>40878</v>
      </c>
      <c r="C92" s="528"/>
      <c r="D92" s="529">
        <f>IF(C92="","",(C92+D91))</f>
      </c>
      <c r="E92" s="282">
        <f t="shared" si="3"/>
      </c>
      <c r="F92" s="530">
        <f t="shared" si="1"/>
      </c>
      <c r="G92" s="280"/>
      <c r="H92" s="280"/>
      <c r="I92" s="336"/>
      <c r="J92" s="528"/>
      <c r="K92" s="529">
        <f t="shared" si="4"/>
      </c>
      <c r="L92" s="530">
        <f t="shared" si="5"/>
      </c>
      <c r="M92" s="338">
        <f t="shared" si="2"/>
      </c>
      <c r="N92" s="280"/>
      <c r="O92" s="280"/>
      <c r="P92" s="561"/>
      <c r="Q92" s="532"/>
    </row>
    <row r="93" spans="2:17" ht="14.25">
      <c r="B93" s="305">
        <v>40909</v>
      </c>
      <c r="C93" s="528"/>
      <c r="D93" s="529">
        <f>IF(C93="","",(C93+D92))</f>
      </c>
      <c r="E93" s="282">
        <f t="shared" si="3"/>
      </c>
      <c r="F93" s="530">
        <f t="shared" si="1"/>
      </c>
      <c r="G93" s="280"/>
      <c r="H93" s="280"/>
      <c r="I93" s="531"/>
      <c r="J93" s="528"/>
      <c r="K93" s="529">
        <f t="shared" si="4"/>
      </c>
      <c r="L93" s="530">
        <f t="shared" si="5"/>
      </c>
      <c r="M93" s="338">
        <f t="shared" si="2"/>
      </c>
      <c r="N93" s="280"/>
      <c r="O93" s="280"/>
      <c r="P93" s="560"/>
      <c r="Q93" s="532"/>
    </row>
    <row r="94" spans="2:17" ht="14.25">
      <c r="B94" s="305">
        <v>40940</v>
      </c>
      <c r="C94" s="528"/>
      <c r="D94" s="529">
        <f>IF(C94="","",(C94+D93))</f>
      </c>
      <c r="E94" s="282">
        <f t="shared" si="3"/>
      </c>
      <c r="F94" s="530">
        <f t="shared" si="1"/>
      </c>
      <c r="G94" s="280"/>
      <c r="H94" s="280"/>
      <c r="I94" s="531"/>
      <c r="J94" s="528"/>
      <c r="K94" s="529">
        <f t="shared" si="4"/>
      </c>
      <c r="L94" s="530">
        <f t="shared" si="5"/>
      </c>
      <c r="M94" s="338">
        <f t="shared" si="2"/>
      </c>
      <c r="N94" s="280"/>
      <c r="O94" s="280"/>
      <c r="P94" s="560"/>
      <c r="Q94" s="532"/>
    </row>
    <row r="95" spans="2:17" ht="15" thickBot="1">
      <c r="B95" s="562">
        <v>40969</v>
      </c>
      <c r="C95" s="533"/>
      <c r="D95" s="534">
        <f>IF(C95="","",(C95+D94))</f>
      </c>
      <c r="E95" s="311">
        <f t="shared" si="3"/>
      </c>
      <c r="F95" s="535">
        <f t="shared" si="1"/>
      </c>
      <c r="G95" s="290"/>
      <c r="H95" s="290"/>
      <c r="I95" s="536"/>
      <c r="J95" s="533"/>
      <c r="K95" s="534">
        <f t="shared" si="4"/>
      </c>
      <c r="L95" s="535">
        <f t="shared" si="5"/>
      </c>
      <c r="M95" s="537">
        <f t="shared" si="2"/>
      </c>
      <c r="N95" s="290"/>
      <c r="O95" s="290"/>
      <c r="P95" s="563"/>
      <c r="Q95" s="532"/>
    </row>
    <row r="96" spans="2:16" ht="11.25">
      <c r="B96" s="564"/>
      <c r="C96" s="212"/>
      <c r="D96" s="212"/>
      <c r="E96" s="212"/>
      <c r="F96" s="212"/>
      <c r="G96" s="212"/>
      <c r="H96" s="212"/>
      <c r="I96" s="212"/>
      <c r="J96" s="212"/>
      <c r="K96" s="212"/>
      <c r="L96" s="212"/>
      <c r="M96" s="212"/>
      <c r="N96" s="212"/>
      <c r="O96" s="212"/>
      <c r="P96" s="246"/>
    </row>
    <row r="97" spans="2:16" ht="12" thickBot="1">
      <c r="B97" s="564"/>
      <c r="C97" s="212"/>
      <c r="D97" s="212"/>
      <c r="E97" s="212"/>
      <c r="F97" s="212"/>
      <c r="G97" s="212"/>
      <c r="H97" s="212"/>
      <c r="I97" s="212"/>
      <c r="J97" s="212"/>
      <c r="K97" s="212"/>
      <c r="L97" s="212"/>
      <c r="M97" s="212"/>
      <c r="N97" s="212"/>
      <c r="O97" s="212"/>
      <c r="P97" s="246"/>
    </row>
    <row r="98" spans="2:18" ht="15.75" thickBot="1">
      <c r="B98" s="308"/>
      <c r="C98" s="765" t="s">
        <v>60</v>
      </c>
      <c r="D98" s="766"/>
      <c r="E98" s="766"/>
      <c r="F98" s="766"/>
      <c r="G98" s="766"/>
      <c r="H98" s="767"/>
      <c r="I98" s="767"/>
      <c r="J98" s="767"/>
      <c r="K98" s="767"/>
      <c r="L98" s="767"/>
      <c r="M98" s="768"/>
      <c r="N98" s="212"/>
      <c r="O98" s="212"/>
      <c r="P98" s="246"/>
      <c r="R98" s="212"/>
    </row>
    <row r="99" spans="2:18" ht="42.75">
      <c r="B99" s="558" t="s">
        <v>40</v>
      </c>
      <c r="C99" s="524" t="s">
        <v>42</v>
      </c>
      <c r="D99" s="525" t="s">
        <v>41</v>
      </c>
      <c r="E99" s="525" t="s">
        <v>41</v>
      </c>
      <c r="F99" s="538" t="s">
        <v>43</v>
      </c>
      <c r="G99" s="525" t="s">
        <v>44</v>
      </c>
      <c r="H99" s="525" t="s">
        <v>62</v>
      </c>
      <c r="I99" s="525" t="s">
        <v>86</v>
      </c>
      <c r="J99" s="538" t="s">
        <v>65</v>
      </c>
      <c r="K99" s="525" t="s">
        <v>66</v>
      </c>
      <c r="L99" s="525" t="s">
        <v>63</v>
      </c>
      <c r="M99" s="526" t="s">
        <v>64</v>
      </c>
      <c r="N99" s="539"/>
      <c r="O99" s="565"/>
      <c r="P99" s="566"/>
      <c r="R99" s="212"/>
    </row>
    <row r="100" spans="2:18" ht="14.25">
      <c r="B100" s="305">
        <v>40634</v>
      </c>
      <c r="C100" s="329">
        <v>1465356</v>
      </c>
      <c r="D100" s="182">
        <v>953389632</v>
      </c>
      <c r="E100" s="540">
        <f>D100*-1</f>
        <v>-953389632</v>
      </c>
      <c r="F100" s="289">
        <v>1</v>
      </c>
      <c r="G100" s="289">
        <v>-382</v>
      </c>
      <c r="H100" s="289">
        <v>1</v>
      </c>
      <c r="I100" s="541">
        <v>-16</v>
      </c>
      <c r="J100" s="542">
        <v>-39.76</v>
      </c>
      <c r="K100" s="542">
        <v>-58.6</v>
      </c>
      <c r="L100" s="543">
        <v>55.8</v>
      </c>
      <c r="M100" s="544">
        <v>55.8</v>
      </c>
      <c r="N100" s="212"/>
      <c r="O100" s="212"/>
      <c r="P100" s="246"/>
      <c r="R100" s="212"/>
    </row>
    <row r="101" spans="2:18" ht="14.25">
      <c r="B101" s="305">
        <v>40664</v>
      </c>
      <c r="C101" s="329">
        <v>94544740</v>
      </c>
      <c r="D101" s="182">
        <v>583270125</v>
      </c>
      <c r="E101" s="540">
        <f>IF(D101="","",D101*-1)</f>
        <v>-583270125</v>
      </c>
      <c r="F101" s="289">
        <v>41</v>
      </c>
      <c r="G101" s="289">
        <v>-205</v>
      </c>
      <c r="H101" s="289">
        <v>5</v>
      </c>
      <c r="I101" s="541">
        <v>-11</v>
      </c>
      <c r="J101" s="542">
        <v>-50</v>
      </c>
      <c r="K101" s="542">
        <v>-59.14</v>
      </c>
      <c r="L101" s="542">
        <v>54.3</v>
      </c>
      <c r="M101" s="545">
        <v>59.5</v>
      </c>
      <c r="N101" s="212"/>
      <c r="O101" s="212"/>
      <c r="P101" s="246"/>
      <c r="R101" s="212"/>
    </row>
    <row r="102" spans="2:18" ht="14.25">
      <c r="B102" s="305">
        <v>40695</v>
      </c>
      <c r="C102" s="329">
        <v>59874428</v>
      </c>
      <c r="D102" s="182">
        <v>393389352</v>
      </c>
      <c r="E102" s="540">
        <f>IF(D102="","",D102*-1)</f>
        <v>-393389352</v>
      </c>
      <c r="F102" s="289">
        <v>23</v>
      </c>
      <c r="G102" s="289">
        <v>-166</v>
      </c>
      <c r="H102" s="289">
        <v>5</v>
      </c>
      <c r="I102" s="541">
        <v>-11</v>
      </c>
      <c r="J102" s="542">
        <v>-52</v>
      </c>
      <c r="K102" s="542">
        <v>-59.47</v>
      </c>
      <c r="L102" s="542">
        <v>58.8</v>
      </c>
      <c r="M102" s="545">
        <v>60.25</v>
      </c>
      <c r="N102" s="212"/>
      <c r="O102" s="212"/>
      <c r="P102" s="246"/>
      <c r="R102" s="212"/>
    </row>
    <row r="103" spans="2:18" ht="14.25">
      <c r="B103" s="305">
        <v>40725</v>
      </c>
      <c r="C103" s="329"/>
      <c r="D103" s="546"/>
      <c r="E103" s="540">
        <f>IF(D103="","",D103*-1)</f>
      </c>
      <c r="F103" s="289"/>
      <c r="G103" s="289"/>
      <c r="H103" s="289"/>
      <c r="I103" s="541"/>
      <c r="J103" s="542"/>
      <c r="K103" s="542"/>
      <c r="L103" s="542"/>
      <c r="M103" s="545"/>
      <c r="N103" s="212"/>
      <c r="O103" s="212"/>
      <c r="P103" s="246"/>
      <c r="R103" s="212"/>
    </row>
    <row r="104" spans="2:18" ht="14.25">
      <c r="B104" s="305">
        <v>40756</v>
      </c>
      <c r="C104" s="329"/>
      <c r="D104" s="546"/>
      <c r="E104" s="540">
        <f>IF(D104="","",D104*-1)</f>
      </c>
      <c r="F104" s="289"/>
      <c r="G104" s="289"/>
      <c r="H104" s="289"/>
      <c r="I104" s="541"/>
      <c r="J104" s="542"/>
      <c r="K104" s="542"/>
      <c r="L104" s="542"/>
      <c r="M104" s="545"/>
      <c r="N104" s="212"/>
      <c r="O104" s="212"/>
      <c r="P104" s="246"/>
      <c r="R104" s="212"/>
    </row>
    <row r="105" spans="2:18" ht="14.25">
      <c r="B105" s="305">
        <v>40787</v>
      </c>
      <c r="C105" s="329"/>
      <c r="D105" s="546"/>
      <c r="E105" s="540">
        <f>IF(D105="","",D105*-1)</f>
      </c>
      <c r="F105" s="289"/>
      <c r="G105" s="289"/>
      <c r="H105" s="289"/>
      <c r="I105" s="541"/>
      <c r="J105" s="542"/>
      <c r="K105" s="542"/>
      <c r="L105" s="542"/>
      <c r="M105" s="545"/>
      <c r="N105" s="212"/>
      <c r="O105" s="212"/>
      <c r="P105" s="246"/>
      <c r="R105" s="212"/>
    </row>
    <row r="106" spans="2:18" ht="14.25">
      <c r="B106" s="305">
        <v>40817</v>
      </c>
      <c r="C106" s="329"/>
      <c r="D106" s="546"/>
      <c r="E106" s="540">
        <f aca="true" t="shared" si="6" ref="E106:E111">IF(D106="","",D106*-1)</f>
      </c>
      <c r="F106" s="289"/>
      <c r="G106" s="289"/>
      <c r="H106" s="289"/>
      <c r="I106" s="541"/>
      <c r="J106" s="542"/>
      <c r="K106" s="542"/>
      <c r="L106" s="542"/>
      <c r="M106" s="545"/>
      <c r="N106" s="212"/>
      <c r="O106" s="212"/>
      <c r="P106" s="246"/>
      <c r="R106" s="212"/>
    </row>
    <row r="107" spans="2:18" ht="14.25">
      <c r="B107" s="305">
        <v>40848</v>
      </c>
      <c r="C107" s="329"/>
      <c r="D107" s="546"/>
      <c r="E107" s="540">
        <f t="shared" si="6"/>
      </c>
      <c r="F107" s="289"/>
      <c r="G107" s="289"/>
      <c r="H107" s="289"/>
      <c r="I107" s="541"/>
      <c r="J107" s="542"/>
      <c r="K107" s="542"/>
      <c r="L107" s="542"/>
      <c r="M107" s="545"/>
      <c r="N107" s="212"/>
      <c r="O107" s="212"/>
      <c r="P107" s="246"/>
      <c r="R107" s="212"/>
    </row>
    <row r="108" spans="2:18" ht="14.25">
      <c r="B108" s="305">
        <v>40878</v>
      </c>
      <c r="C108" s="329"/>
      <c r="D108" s="546"/>
      <c r="E108" s="540">
        <f t="shared" si="6"/>
      </c>
      <c r="F108" s="289"/>
      <c r="G108" s="289"/>
      <c r="H108" s="289"/>
      <c r="I108" s="541"/>
      <c r="J108" s="542"/>
      <c r="K108" s="542"/>
      <c r="L108" s="542"/>
      <c r="M108" s="545"/>
      <c r="N108" s="212"/>
      <c r="O108" s="212"/>
      <c r="P108" s="246"/>
      <c r="R108" s="212"/>
    </row>
    <row r="109" spans="2:18" ht="14.25">
      <c r="B109" s="305">
        <v>40909</v>
      </c>
      <c r="C109" s="329"/>
      <c r="D109" s="182"/>
      <c r="E109" s="540">
        <f t="shared" si="6"/>
      </c>
      <c r="F109" s="289"/>
      <c r="G109" s="289"/>
      <c r="H109" s="289"/>
      <c r="I109" s="541"/>
      <c r="J109" s="542"/>
      <c r="K109" s="542"/>
      <c r="L109" s="542"/>
      <c r="M109" s="545"/>
      <c r="N109" s="212"/>
      <c r="O109" s="212"/>
      <c r="P109" s="246"/>
      <c r="R109" s="212"/>
    </row>
    <row r="110" spans="2:18" ht="14.25">
      <c r="B110" s="305">
        <v>40940</v>
      </c>
      <c r="C110" s="329"/>
      <c r="D110" s="182"/>
      <c r="E110" s="540">
        <f t="shared" si="6"/>
      </c>
      <c r="F110" s="289"/>
      <c r="G110" s="289"/>
      <c r="H110" s="289"/>
      <c r="I110" s="541"/>
      <c r="J110" s="542"/>
      <c r="K110" s="542"/>
      <c r="L110" s="542"/>
      <c r="M110" s="545"/>
      <c r="N110" s="212"/>
      <c r="O110" s="212"/>
      <c r="P110" s="246"/>
      <c r="R110" s="212"/>
    </row>
    <row r="111" spans="2:18" ht="15" thickBot="1">
      <c r="B111" s="562">
        <v>40969</v>
      </c>
      <c r="C111" s="547"/>
      <c r="D111" s="193"/>
      <c r="E111" s="548">
        <f t="shared" si="6"/>
      </c>
      <c r="F111" s="549"/>
      <c r="G111" s="549"/>
      <c r="H111" s="549"/>
      <c r="I111" s="550"/>
      <c r="J111" s="551"/>
      <c r="K111" s="551"/>
      <c r="L111" s="551"/>
      <c r="M111" s="552"/>
      <c r="N111" s="212"/>
      <c r="O111" s="212"/>
      <c r="P111" s="246"/>
      <c r="R111" s="212"/>
    </row>
    <row r="112" spans="2:16" ht="14.25">
      <c r="B112" s="245"/>
      <c r="C112" s="567" t="s">
        <v>82</v>
      </c>
      <c r="D112" s="212"/>
      <c r="E112" s="212"/>
      <c r="F112" s="212"/>
      <c r="G112" s="212"/>
      <c r="H112" s="212"/>
      <c r="I112" s="212"/>
      <c r="J112" s="206"/>
      <c r="K112" s="212"/>
      <c r="L112" s="212"/>
      <c r="M112" s="212"/>
      <c r="N112" s="212"/>
      <c r="O112" s="212"/>
      <c r="P112" s="246"/>
    </row>
    <row r="113" spans="2:16" ht="5.25" customHeight="1">
      <c r="B113" s="245"/>
      <c r="C113" s="212"/>
      <c r="D113" s="212"/>
      <c r="E113" s="212"/>
      <c r="F113" s="212"/>
      <c r="G113" s="212"/>
      <c r="H113" s="212"/>
      <c r="I113" s="212"/>
      <c r="J113" s="212"/>
      <c r="K113" s="212"/>
      <c r="L113" s="212"/>
      <c r="M113" s="212"/>
      <c r="N113" s="212"/>
      <c r="O113" s="212"/>
      <c r="P113" s="246"/>
    </row>
    <row r="114" spans="2:16" ht="11.25">
      <c r="B114" s="245"/>
      <c r="C114" s="212"/>
      <c r="D114" s="212"/>
      <c r="E114" s="212"/>
      <c r="F114" s="212"/>
      <c r="G114" s="212"/>
      <c r="H114" s="212"/>
      <c r="I114" s="212"/>
      <c r="J114" s="212"/>
      <c r="K114" s="212"/>
      <c r="L114" s="212"/>
      <c r="M114" s="212"/>
      <c r="N114" s="212"/>
      <c r="O114" s="212"/>
      <c r="P114" s="246"/>
    </row>
    <row r="115" spans="2:16" ht="11.25">
      <c r="B115" s="245"/>
      <c r="C115" s="212"/>
      <c r="D115" s="212"/>
      <c r="E115" s="212"/>
      <c r="F115" s="212"/>
      <c r="G115" s="212"/>
      <c r="H115" s="212"/>
      <c r="I115" s="212"/>
      <c r="J115" s="212"/>
      <c r="K115" s="212"/>
      <c r="L115" s="212"/>
      <c r="M115" s="212"/>
      <c r="N115" s="212"/>
      <c r="O115" s="212"/>
      <c r="P115" s="246"/>
    </row>
    <row r="116" spans="2:16" ht="11.25">
      <c r="B116" s="245"/>
      <c r="C116" s="212"/>
      <c r="D116" s="212"/>
      <c r="E116" s="212"/>
      <c r="F116" s="212"/>
      <c r="G116" s="212"/>
      <c r="H116" s="212"/>
      <c r="I116" s="212"/>
      <c r="J116" s="212"/>
      <c r="K116" s="212"/>
      <c r="L116" s="212"/>
      <c r="M116" s="212"/>
      <c r="N116" s="212"/>
      <c r="O116" s="212"/>
      <c r="P116" s="246"/>
    </row>
    <row r="117" spans="2:16" ht="11.25">
      <c r="B117" s="245"/>
      <c r="C117" s="212"/>
      <c r="D117" s="212"/>
      <c r="E117" s="212"/>
      <c r="F117" s="212"/>
      <c r="G117" s="212"/>
      <c r="H117" s="212"/>
      <c r="I117" s="212"/>
      <c r="J117" s="212"/>
      <c r="K117" s="212"/>
      <c r="L117" s="212"/>
      <c r="M117" s="212"/>
      <c r="N117" s="212"/>
      <c r="O117" s="212"/>
      <c r="P117" s="246"/>
    </row>
    <row r="118" spans="2:16" ht="11.25">
      <c r="B118" s="245"/>
      <c r="C118" s="212"/>
      <c r="D118" s="212"/>
      <c r="E118" s="212"/>
      <c r="F118" s="212"/>
      <c r="G118" s="212"/>
      <c r="H118" s="212"/>
      <c r="I118" s="212"/>
      <c r="J118" s="212"/>
      <c r="K118" s="212"/>
      <c r="L118" s="212"/>
      <c r="M118" s="212"/>
      <c r="N118" s="212"/>
      <c r="O118" s="212"/>
      <c r="P118" s="246"/>
    </row>
    <row r="119" spans="2:16" ht="11.25">
      <c r="B119" s="245"/>
      <c r="C119" s="212"/>
      <c r="D119" s="212"/>
      <c r="E119" s="212"/>
      <c r="F119" s="212"/>
      <c r="G119" s="212"/>
      <c r="H119" s="212"/>
      <c r="I119" s="212"/>
      <c r="J119" s="212"/>
      <c r="K119" s="212"/>
      <c r="L119" s="212"/>
      <c r="M119" s="212"/>
      <c r="N119" s="212"/>
      <c r="O119" s="212"/>
      <c r="P119" s="246"/>
    </row>
    <row r="120" spans="2:16" ht="11.25">
      <c r="B120" s="245"/>
      <c r="C120" s="212"/>
      <c r="D120" s="212"/>
      <c r="E120" s="212"/>
      <c r="F120" s="212"/>
      <c r="G120" s="212"/>
      <c r="H120" s="212"/>
      <c r="I120" s="212"/>
      <c r="J120" s="212"/>
      <c r="K120" s="212"/>
      <c r="L120" s="212"/>
      <c r="M120" s="212"/>
      <c r="N120" s="212"/>
      <c r="O120" s="212"/>
      <c r="P120" s="246"/>
    </row>
    <row r="121" spans="2:16" ht="11.25">
      <c r="B121" s="245"/>
      <c r="C121" s="212"/>
      <c r="D121" s="212"/>
      <c r="E121" s="212"/>
      <c r="F121" s="212"/>
      <c r="G121" s="212"/>
      <c r="H121" s="212"/>
      <c r="I121" s="212"/>
      <c r="J121" s="212"/>
      <c r="K121" s="212"/>
      <c r="L121" s="212"/>
      <c r="M121" s="212"/>
      <c r="N121" s="212"/>
      <c r="O121" s="212"/>
      <c r="P121" s="246"/>
    </row>
    <row r="122" spans="2:16" ht="11.25">
      <c r="B122" s="245"/>
      <c r="C122" s="212"/>
      <c r="D122" s="212"/>
      <c r="E122" s="212"/>
      <c r="F122" s="212"/>
      <c r="G122" s="212"/>
      <c r="H122" s="212"/>
      <c r="I122" s="212"/>
      <c r="J122" s="212"/>
      <c r="K122" s="212"/>
      <c r="L122" s="212"/>
      <c r="M122" s="212"/>
      <c r="N122" s="212"/>
      <c r="O122" s="212"/>
      <c r="P122" s="246"/>
    </row>
    <row r="123" spans="2:16" ht="11.25">
      <c r="B123" s="245"/>
      <c r="C123" s="212"/>
      <c r="D123" s="212"/>
      <c r="E123" s="212"/>
      <c r="F123" s="212"/>
      <c r="G123" s="212"/>
      <c r="H123" s="212"/>
      <c r="I123" s="212"/>
      <c r="J123" s="212"/>
      <c r="K123" s="212"/>
      <c r="L123" s="212"/>
      <c r="M123" s="212"/>
      <c r="N123" s="212"/>
      <c r="O123" s="212"/>
      <c r="P123" s="246"/>
    </row>
    <row r="124" spans="2:16" ht="11.25">
      <c r="B124" s="245"/>
      <c r="C124" s="212"/>
      <c r="D124" s="212"/>
      <c r="E124" s="212"/>
      <c r="F124" s="212"/>
      <c r="G124" s="212"/>
      <c r="H124" s="212"/>
      <c r="I124" s="212"/>
      <c r="J124" s="212"/>
      <c r="K124" s="212"/>
      <c r="L124" s="212"/>
      <c r="M124" s="212"/>
      <c r="N124" s="212"/>
      <c r="O124" s="212"/>
      <c r="P124" s="246"/>
    </row>
    <row r="125" spans="2:16" ht="11.25">
      <c r="B125" s="245"/>
      <c r="C125" s="212"/>
      <c r="D125" s="212"/>
      <c r="E125" s="212"/>
      <c r="F125" s="212"/>
      <c r="G125" s="212"/>
      <c r="H125" s="212"/>
      <c r="I125" s="212"/>
      <c r="J125" s="212"/>
      <c r="K125" s="212"/>
      <c r="L125" s="212"/>
      <c r="M125" s="212"/>
      <c r="N125" s="212"/>
      <c r="O125" s="212"/>
      <c r="P125" s="246"/>
    </row>
    <row r="126" spans="2:16" ht="11.25">
      <c r="B126" s="245"/>
      <c r="C126" s="212"/>
      <c r="D126" s="212"/>
      <c r="E126" s="212"/>
      <c r="F126" s="212"/>
      <c r="G126" s="212"/>
      <c r="H126" s="212"/>
      <c r="I126" s="212"/>
      <c r="J126" s="212"/>
      <c r="K126" s="212"/>
      <c r="L126" s="212"/>
      <c r="M126" s="212"/>
      <c r="N126" s="212"/>
      <c r="O126" s="212"/>
      <c r="P126" s="246"/>
    </row>
    <row r="127" spans="2:16" ht="11.25">
      <c r="B127" s="245"/>
      <c r="C127" s="212"/>
      <c r="D127" s="212"/>
      <c r="E127" s="212"/>
      <c r="F127" s="212"/>
      <c r="G127" s="212"/>
      <c r="H127" s="212"/>
      <c r="I127" s="212"/>
      <c r="J127" s="212"/>
      <c r="K127" s="212"/>
      <c r="L127" s="212"/>
      <c r="M127" s="212"/>
      <c r="N127" s="212"/>
      <c r="O127" s="212"/>
      <c r="P127" s="246"/>
    </row>
    <row r="128" spans="2:16" ht="11.25">
      <c r="B128" s="245"/>
      <c r="C128" s="212"/>
      <c r="D128" s="212"/>
      <c r="E128" s="212"/>
      <c r="F128" s="212"/>
      <c r="G128" s="212"/>
      <c r="H128" s="212"/>
      <c r="I128" s="212"/>
      <c r="J128" s="212"/>
      <c r="K128" s="212"/>
      <c r="L128" s="212"/>
      <c r="M128" s="212"/>
      <c r="N128" s="212"/>
      <c r="O128" s="212"/>
      <c r="P128" s="246"/>
    </row>
    <row r="129" spans="2:16" ht="11.25">
      <c r="B129" s="245"/>
      <c r="C129" s="212"/>
      <c r="D129" s="212"/>
      <c r="E129" s="212"/>
      <c r="F129" s="212"/>
      <c r="G129" s="212"/>
      <c r="H129" s="212"/>
      <c r="I129" s="212"/>
      <c r="J129" s="212"/>
      <c r="K129" s="212"/>
      <c r="L129" s="212"/>
      <c r="M129" s="212"/>
      <c r="N129" s="212"/>
      <c r="O129" s="212"/>
      <c r="P129" s="246"/>
    </row>
    <row r="130" spans="2:16" ht="11.25">
      <c r="B130" s="245"/>
      <c r="C130" s="212"/>
      <c r="D130" s="212"/>
      <c r="E130" s="212"/>
      <c r="F130" s="212"/>
      <c r="G130" s="212"/>
      <c r="H130" s="212"/>
      <c r="I130" s="212"/>
      <c r="J130" s="212"/>
      <c r="K130" s="212"/>
      <c r="L130" s="212"/>
      <c r="M130" s="212"/>
      <c r="N130" s="212"/>
      <c r="O130" s="212"/>
      <c r="P130" s="246"/>
    </row>
    <row r="131" spans="2:16" ht="11.25">
      <c r="B131" s="245"/>
      <c r="C131" s="212"/>
      <c r="D131" s="212"/>
      <c r="E131" s="212"/>
      <c r="F131" s="212"/>
      <c r="G131" s="212"/>
      <c r="H131" s="212"/>
      <c r="I131" s="212"/>
      <c r="J131" s="212"/>
      <c r="K131" s="212"/>
      <c r="L131" s="212"/>
      <c r="M131" s="212"/>
      <c r="N131" s="212"/>
      <c r="O131" s="212"/>
      <c r="P131" s="246"/>
    </row>
    <row r="132" spans="2:16" ht="11.25">
      <c r="B132" s="245"/>
      <c r="C132" s="212"/>
      <c r="D132" s="212"/>
      <c r="E132" s="212"/>
      <c r="F132" s="212"/>
      <c r="G132" s="212"/>
      <c r="H132" s="212"/>
      <c r="I132" s="212"/>
      <c r="J132" s="212"/>
      <c r="K132" s="212"/>
      <c r="L132" s="212"/>
      <c r="M132" s="212"/>
      <c r="N132" s="212"/>
      <c r="O132" s="212"/>
      <c r="P132" s="246"/>
    </row>
    <row r="133" spans="2:16" ht="11.25">
      <c r="B133" s="245"/>
      <c r="C133" s="212"/>
      <c r="D133" s="212"/>
      <c r="E133" s="212"/>
      <c r="F133" s="212"/>
      <c r="G133" s="212"/>
      <c r="H133" s="212"/>
      <c r="I133" s="212"/>
      <c r="J133" s="212"/>
      <c r="K133" s="212"/>
      <c r="L133" s="212"/>
      <c r="M133" s="212"/>
      <c r="N133" s="212"/>
      <c r="O133" s="212"/>
      <c r="P133" s="246"/>
    </row>
    <row r="134" spans="2:16" ht="11.25">
      <c r="B134" s="245"/>
      <c r="C134" s="212"/>
      <c r="D134" s="212"/>
      <c r="E134" s="212"/>
      <c r="F134" s="212"/>
      <c r="G134" s="212"/>
      <c r="H134" s="212"/>
      <c r="I134" s="212"/>
      <c r="J134" s="212"/>
      <c r="K134" s="212"/>
      <c r="L134" s="212"/>
      <c r="M134" s="212"/>
      <c r="N134" s="212"/>
      <c r="O134" s="212"/>
      <c r="P134" s="246"/>
    </row>
    <row r="135" spans="2:16" ht="11.25">
      <c r="B135" s="245"/>
      <c r="C135" s="212"/>
      <c r="D135" s="212"/>
      <c r="E135" s="212"/>
      <c r="F135" s="212"/>
      <c r="G135" s="212"/>
      <c r="H135" s="212"/>
      <c r="I135" s="212"/>
      <c r="J135" s="212"/>
      <c r="K135" s="212"/>
      <c r="L135" s="212"/>
      <c r="M135" s="212"/>
      <c r="N135" s="212"/>
      <c r="O135" s="212"/>
      <c r="P135" s="246"/>
    </row>
    <row r="136" spans="2:16" ht="11.25">
      <c r="B136" s="245"/>
      <c r="C136" s="212"/>
      <c r="D136" s="212"/>
      <c r="E136" s="212"/>
      <c r="F136" s="212"/>
      <c r="G136" s="212"/>
      <c r="H136" s="212"/>
      <c r="I136" s="212"/>
      <c r="J136" s="212"/>
      <c r="K136" s="212"/>
      <c r="L136" s="212"/>
      <c r="M136" s="212"/>
      <c r="N136" s="212"/>
      <c r="O136" s="212"/>
      <c r="P136" s="246"/>
    </row>
    <row r="137" spans="2:16" ht="11.25">
      <c r="B137" s="245"/>
      <c r="C137" s="212"/>
      <c r="D137" s="212"/>
      <c r="E137" s="212"/>
      <c r="F137" s="212"/>
      <c r="G137" s="212"/>
      <c r="H137" s="212"/>
      <c r="I137" s="212"/>
      <c r="J137" s="212"/>
      <c r="K137" s="212"/>
      <c r="L137" s="212"/>
      <c r="M137" s="212"/>
      <c r="N137" s="212"/>
      <c r="O137" s="212"/>
      <c r="P137" s="246"/>
    </row>
    <row r="138" spans="2:16" ht="11.25">
      <c r="B138" s="245"/>
      <c r="C138" s="212"/>
      <c r="D138" s="212"/>
      <c r="E138" s="212"/>
      <c r="F138" s="212"/>
      <c r="G138" s="212"/>
      <c r="H138" s="212"/>
      <c r="I138" s="212"/>
      <c r="J138" s="212"/>
      <c r="K138" s="212"/>
      <c r="L138" s="212"/>
      <c r="M138" s="212"/>
      <c r="N138" s="212"/>
      <c r="O138" s="212"/>
      <c r="P138" s="246"/>
    </row>
    <row r="139" spans="2:16" ht="11.25">
      <c r="B139" s="245"/>
      <c r="C139" s="212"/>
      <c r="D139" s="212"/>
      <c r="E139" s="212"/>
      <c r="F139" s="212"/>
      <c r="G139" s="212"/>
      <c r="H139" s="212"/>
      <c r="I139" s="212"/>
      <c r="J139" s="212"/>
      <c r="K139" s="212"/>
      <c r="L139" s="212"/>
      <c r="M139" s="212"/>
      <c r="N139" s="212"/>
      <c r="O139" s="212"/>
      <c r="P139" s="246"/>
    </row>
    <row r="140" spans="2:16" ht="11.25">
      <c r="B140" s="245"/>
      <c r="C140" s="212"/>
      <c r="D140" s="212"/>
      <c r="E140" s="212"/>
      <c r="F140" s="212"/>
      <c r="G140" s="212"/>
      <c r="H140" s="212"/>
      <c r="I140" s="212"/>
      <c r="J140" s="212"/>
      <c r="K140" s="212"/>
      <c r="L140" s="212"/>
      <c r="M140" s="212"/>
      <c r="N140" s="212"/>
      <c r="O140" s="212"/>
      <c r="P140" s="246"/>
    </row>
    <row r="141" spans="2:16" ht="11.25">
      <c r="B141" s="245"/>
      <c r="C141" s="212"/>
      <c r="D141" s="212"/>
      <c r="E141" s="212"/>
      <c r="F141" s="212"/>
      <c r="G141" s="212"/>
      <c r="H141" s="212"/>
      <c r="I141" s="212"/>
      <c r="J141" s="212"/>
      <c r="K141" s="212"/>
      <c r="L141" s="212"/>
      <c r="M141" s="212"/>
      <c r="N141" s="212"/>
      <c r="O141" s="212"/>
      <c r="P141" s="246"/>
    </row>
    <row r="142" spans="2:16" ht="11.25">
      <c r="B142" s="245"/>
      <c r="C142" s="212"/>
      <c r="D142" s="212"/>
      <c r="E142" s="212"/>
      <c r="F142" s="212"/>
      <c r="G142" s="212"/>
      <c r="H142" s="212"/>
      <c r="I142" s="212"/>
      <c r="J142" s="212"/>
      <c r="K142" s="212"/>
      <c r="L142" s="212"/>
      <c r="M142" s="212"/>
      <c r="N142" s="212"/>
      <c r="O142" s="212"/>
      <c r="P142" s="246"/>
    </row>
    <row r="143" spans="2:16" ht="11.25">
      <c r="B143" s="245"/>
      <c r="C143" s="212"/>
      <c r="D143" s="212"/>
      <c r="E143" s="212"/>
      <c r="F143" s="212"/>
      <c r="G143" s="212"/>
      <c r="H143" s="212"/>
      <c r="I143" s="212"/>
      <c r="J143" s="212"/>
      <c r="K143" s="212"/>
      <c r="L143" s="212"/>
      <c r="M143" s="212"/>
      <c r="N143" s="212"/>
      <c r="O143" s="212"/>
      <c r="P143" s="246"/>
    </row>
    <row r="144" spans="2:16" ht="11.25">
      <c r="B144" s="245"/>
      <c r="C144" s="212"/>
      <c r="D144" s="212"/>
      <c r="E144" s="212"/>
      <c r="F144" s="212"/>
      <c r="G144" s="212"/>
      <c r="H144" s="212"/>
      <c r="I144" s="212"/>
      <c r="J144" s="212"/>
      <c r="K144" s="212"/>
      <c r="L144" s="212"/>
      <c r="M144" s="212"/>
      <c r="N144" s="212"/>
      <c r="O144" s="212"/>
      <c r="P144" s="246"/>
    </row>
    <row r="145" spans="2:16" ht="11.25">
      <c r="B145" s="245"/>
      <c r="C145" s="212"/>
      <c r="D145" s="212"/>
      <c r="E145" s="212"/>
      <c r="F145" s="212"/>
      <c r="G145" s="212"/>
      <c r="H145" s="212"/>
      <c r="I145" s="212"/>
      <c r="J145" s="212"/>
      <c r="K145" s="212"/>
      <c r="L145" s="212"/>
      <c r="M145" s="212"/>
      <c r="N145" s="212"/>
      <c r="O145" s="212"/>
      <c r="P145" s="246"/>
    </row>
    <row r="146" spans="2:16" ht="11.25">
      <c r="B146" s="245"/>
      <c r="C146" s="212"/>
      <c r="D146" s="212"/>
      <c r="E146" s="212"/>
      <c r="F146" s="212"/>
      <c r="G146" s="212"/>
      <c r="H146" s="212"/>
      <c r="I146" s="212"/>
      <c r="J146" s="212"/>
      <c r="K146" s="212"/>
      <c r="L146" s="212"/>
      <c r="M146" s="212"/>
      <c r="N146" s="212"/>
      <c r="O146" s="212"/>
      <c r="P146" s="246"/>
    </row>
    <row r="147" spans="2:16" ht="11.25">
      <c r="B147" s="245"/>
      <c r="C147" s="212"/>
      <c r="D147" s="212"/>
      <c r="E147" s="212"/>
      <c r="F147" s="212"/>
      <c r="G147" s="212"/>
      <c r="H147" s="212"/>
      <c r="I147" s="212"/>
      <c r="J147" s="212"/>
      <c r="K147" s="212"/>
      <c r="L147" s="212"/>
      <c r="M147" s="212"/>
      <c r="N147" s="212"/>
      <c r="O147" s="212"/>
      <c r="P147" s="246"/>
    </row>
    <row r="148" spans="2:16" ht="11.25">
      <c r="B148" s="245"/>
      <c r="C148" s="212"/>
      <c r="D148" s="212"/>
      <c r="E148" s="212"/>
      <c r="F148" s="212"/>
      <c r="G148" s="212"/>
      <c r="H148" s="212"/>
      <c r="I148" s="212"/>
      <c r="J148" s="212"/>
      <c r="K148" s="212"/>
      <c r="L148" s="212"/>
      <c r="M148" s="212"/>
      <c r="N148" s="212"/>
      <c r="O148" s="212"/>
      <c r="P148" s="246"/>
    </row>
    <row r="149" spans="2:16" ht="11.25">
      <c r="B149" s="245"/>
      <c r="C149" s="212"/>
      <c r="D149" s="212"/>
      <c r="E149" s="212"/>
      <c r="F149" s="212"/>
      <c r="G149" s="212"/>
      <c r="H149" s="212"/>
      <c r="I149" s="212"/>
      <c r="J149" s="212"/>
      <c r="K149" s="212"/>
      <c r="L149" s="212"/>
      <c r="M149" s="212"/>
      <c r="N149" s="212"/>
      <c r="O149" s="212"/>
      <c r="P149" s="246"/>
    </row>
    <row r="150" spans="2:16" ht="11.25">
      <c r="B150" s="245"/>
      <c r="C150" s="212"/>
      <c r="D150" s="212"/>
      <c r="E150" s="212"/>
      <c r="F150" s="212"/>
      <c r="G150" s="212"/>
      <c r="H150" s="212"/>
      <c r="I150" s="212"/>
      <c r="J150" s="212"/>
      <c r="K150" s="212"/>
      <c r="L150" s="212"/>
      <c r="M150" s="212"/>
      <c r="N150" s="212"/>
      <c r="O150" s="212"/>
      <c r="P150" s="246"/>
    </row>
    <row r="151" spans="2:16" ht="11.25">
      <c r="B151" s="245"/>
      <c r="C151" s="212"/>
      <c r="D151" s="212"/>
      <c r="E151" s="212"/>
      <c r="F151" s="212"/>
      <c r="G151" s="212"/>
      <c r="H151" s="212"/>
      <c r="I151" s="212"/>
      <c r="J151" s="212"/>
      <c r="K151" s="212"/>
      <c r="L151" s="212"/>
      <c r="M151" s="212"/>
      <c r="N151" s="212"/>
      <c r="O151" s="212"/>
      <c r="P151" s="246"/>
    </row>
    <row r="152" spans="2:16" ht="11.25">
      <c r="B152" s="245"/>
      <c r="C152" s="212"/>
      <c r="D152" s="212"/>
      <c r="E152" s="212"/>
      <c r="F152" s="212"/>
      <c r="G152" s="212"/>
      <c r="H152" s="212"/>
      <c r="I152" s="212"/>
      <c r="J152" s="212"/>
      <c r="K152" s="212"/>
      <c r="L152" s="212"/>
      <c r="M152" s="212"/>
      <c r="N152" s="212"/>
      <c r="O152" s="212"/>
      <c r="P152" s="246"/>
    </row>
    <row r="153" spans="2:16" ht="11.25">
      <c r="B153" s="245"/>
      <c r="C153" s="212"/>
      <c r="D153" s="212"/>
      <c r="E153" s="212"/>
      <c r="F153" s="212"/>
      <c r="G153" s="212"/>
      <c r="H153" s="212"/>
      <c r="I153" s="212"/>
      <c r="J153" s="212"/>
      <c r="K153" s="212"/>
      <c r="L153" s="212"/>
      <c r="M153" s="212"/>
      <c r="N153" s="212"/>
      <c r="O153" s="212"/>
      <c r="P153" s="246"/>
    </row>
    <row r="154" spans="2:16" ht="11.25">
      <c r="B154" s="245"/>
      <c r="C154" s="212"/>
      <c r="D154" s="212"/>
      <c r="E154" s="212"/>
      <c r="F154" s="212"/>
      <c r="G154" s="212"/>
      <c r="H154" s="212"/>
      <c r="I154" s="212"/>
      <c r="J154" s="212"/>
      <c r="K154" s="212"/>
      <c r="L154" s="212"/>
      <c r="M154" s="212"/>
      <c r="N154" s="212"/>
      <c r="O154" s="212"/>
      <c r="P154" s="246"/>
    </row>
    <row r="155" spans="2:16" ht="11.25">
      <c r="B155" s="245"/>
      <c r="C155" s="212"/>
      <c r="D155" s="212"/>
      <c r="E155" s="212"/>
      <c r="F155" s="212"/>
      <c r="G155" s="212"/>
      <c r="H155" s="212"/>
      <c r="I155" s="212"/>
      <c r="J155" s="212"/>
      <c r="K155" s="212"/>
      <c r="L155" s="212"/>
      <c r="M155" s="212"/>
      <c r="N155" s="212"/>
      <c r="O155" s="212"/>
      <c r="P155" s="246"/>
    </row>
    <row r="156" spans="2:16" ht="11.25">
      <c r="B156" s="245"/>
      <c r="C156" s="212"/>
      <c r="D156" s="212"/>
      <c r="E156" s="212"/>
      <c r="F156" s="212"/>
      <c r="G156" s="212"/>
      <c r="H156" s="212"/>
      <c r="I156" s="212"/>
      <c r="J156" s="212"/>
      <c r="K156" s="212"/>
      <c r="L156" s="212"/>
      <c r="M156" s="212"/>
      <c r="N156" s="212"/>
      <c r="O156" s="212"/>
      <c r="P156" s="246"/>
    </row>
    <row r="157" spans="2:16" ht="11.25">
      <c r="B157" s="245"/>
      <c r="C157" s="212"/>
      <c r="D157" s="212"/>
      <c r="E157" s="212"/>
      <c r="F157" s="212"/>
      <c r="G157" s="212"/>
      <c r="H157" s="212"/>
      <c r="I157" s="212"/>
      <c r="J157" s="212"/>
      <c r="K157" s="212"/>
      <c r="L157" s="212"/>
      <c r="M157" s="212"/>
      <c r="N157" s="212"/>
      <c r="O157" s="212"/>
      <c r="P157" s="246"/>
    </row>
    <row r="158" spans="2:16" ht="11.25">
      <c r="B158" s="245"/>
      <c r="C158" s="212"/>
      <c r="D158" s="212"/>
      <c r="E158" s="212"/>
      <c r="F158" s="212"/>
      <c r="G158" s="212"/>
      <c r="H158" s="212"/>
      <c r="I158" s="212"/>
      <c r="J158" s="212"/>
      <c r="K158" s="212"/>
      <c r="L158" s="212"/>
      <c r="M158" s="212"/>
      <c r="N158" s="212"/>
      <c r="O158" s="212"/>
      <c r="P158" s="246"/>
    </row>
    <row r="159" spans="2:16" ht="11.25">
      <c r="B159" s="245"/>
      <c r="C159" s="212"/>
      <c r="D159" s="212"/>
      <c r="E159" s="212"/>
      <c r="F159" s="212"/>
      <c r="G159" s="212"/>
      <c r="H159" s="212"/>
      <c r="I159" s="212"/>
      <c r="J159" s="212"/>
      <c r="K159" s="212"/>
      <c r="L159" s="212"/>
      <c r="M159" s="212"/>
      <c r="N159" s="212"/>
      <c r="O159" s="212"/>
      <c r="P159" s="246"/>
    </row>
    <row r="160" spans="2:16" ht="11.25">
      <c r="B160" s="245"/>
      <c r="C160" s="212"/>
      <c r="D160" s="212"/>
      <c r="E160" s="212"/>
      <c r="F160" s="212"/>
      <c r="G160" s="212"/>
      <c r="H160" s="212"/>
      <c r="I160" s="212"/>
      <c r="J160" s="212"/>
      <c r="K160" s="212"/>
      <c r="L160" s="212"/>
      <c r="M160" s="212"/>
      <c r="N160" s="212"/>
      <c r="O160" s="212"/>
      <c r="P160" s="246"/>
    </row>
    <row r="161" spans="2:16" ht="11.25">
      <c r="B161" s="245"/>
      <c r="C161" s="212"/>
      <c r="D161" s="212"/>
      <c r="E161" s="212"/>
      <c r="F161" s="212"/>
      <c r="G161" s="212"/>
      <c r="H161" s="212"/>
      <c r="I161" s="212"/>
      <c r="J161" s="212"/>
      <c r="K161" s="212"/>
      <c r="L161" s="212"/>
      <c r="M161" s="212"/>
      <c r="N161" s="212"/>
      <c r="O161" s="212"/>
      <c r="P161" s="246"/>
    </row>
    <row r="162" spans="2:16" ht="11.25">
      <c r="B162" s="245"/>
      <c r="C162" s="212"/>
      <c r="D162" s="212"/>
      <c r="E162" s="212"/>
      <c r="F162" s="212"/>
      <c r="G162" s="212"/>
      <c r="H162" s="212"/>
      <c r="I162" s="212"/>
      <c r="J162" s="212"/>
      <c r="K162" s="212"/>
      <c r="L162" s="212"/>
      <c r="M162" s="212"/>
      <c r="N162" s="212"/>
      <c r="O162" s="212"/>
      <c r="P162" s="246"/>
    </row>
    <row r="163" spans="2:16" ht="11.25">
      <c r="B163" s="245"/>
      <c r="C163" s="212"/>
      <c r="D163" s="212"/>
      <c r="E163" s="212"/>
      <c r="F163" s="212"/>
      <c r="G163" s="212"/>
      <c r="H163" s="212"/>
      <c r="I163" s="212"/>
      <c r="J163" s="212"/>
      <c r="K163" s="212"/>
      <c r="L163" s="212"/>
      <c r="M163" s="212"/>
      <c r="N163" s="212"/>
      <c r="O163" s="212"/>
      <c r="P163" s="246"/>
    </row>
    <row r="164" spans="2:16" ht="11.25">
      <c r="B164" s="245"/>
      <c r="C164" s="212"/>
      <c r="D164" s="212"/>
      <c r="E164" s="212"/>
      <c r="F164" s="212"/>
      <c r="G164" s="212"/>
      <c r="H164" s="212"/>
      <c r="I164" s="212"/>
      <c r="J164" s="212"/>
      <c r="K164" s="212"/>
      <c r="L164" s="212"/>
      <c r="M164" s="212"/>
      <c r="N164" s="212"/>
      <c r="O164" s="212"/>
      <c r="P164" s="246"/>
    </row>
    <row r="165" spans="2:16" ht="11.25">
      <c r="B165" s="245"/>
      <c r="C165" s="212"/>
      <c r="D165" s="212"/>
      <c r="E165" s="212"/>
      <c r="F165" s="212"/>
      <c r="G165" s="212"/>
      <c r="H165" s="212"/>
      <c r="I165" s="212"/>
      <c r="J165" s="212"/>
      <c r="K165" s="212"/>
      <c r="L165" s="212"/>
      <c r="M165" s="212"/>
      <c r="N165" s="212"/>
      <c r="O165" s="212"/>
      <c r="P165" s="246"/>
    </row>
    <row r="166" spans="2:16" ht="11.25">
      <c r="B166" s="245"/>
      <c r="C166" s="212"/>
      <c r="D166" s="212"/>
      <c r="E166" s="212"/>
      <c r="F166" s="212"/>
      <c r="G166" s="212"/>
      <c r="H166" s="212"/>
      <c r="I166" s="212"/>
      <c r="J166" s="212"/>
      <c r="K166" s="212"/>
      <c r="L166" s="212"/>
      <c r="M166" s="212"/>
      <c r="N166" s="212"/>
      <c r="O166" s="212"/>
      <c r="P166" s="246"/>
    </row>
    <row r="167" spans="2:16" ht="11.25">
      <c r="B167" s="245"/>
      <c r="C167" s="212"/>
      <c r="D167" s="212"/>
      <c r="E167" s="212"/>
      <c r="F167" s="212"/>
      <c r="G167" s="212"/>
      <c r="H167" s="212"/>
      <c r="I167" s="212"/>
      <c r="J167" s="212"/>
      <c r="K167" s="212"/>
      <c r="L167" s="212"/>
      <c r="M167" s="212"/>
      <c r="N167" s="212"/>
      <c r="O167" s="212"/>
      <c r="P167" s="246"/>
    </row>
    <row r="168" spans="2:16" ht="11.25">
      <c r="B168" s="245"/>
      <c r="C168" s="212"/>
      <c r="D168" s="212"/>
      <c r="E168" s="212"/>
      <c r="F168" s="212"/>
      <c r="G168" s="212"/>
      <c r="H168" s="212"/>
      <c r="I168" s="212"/>
      <c r="J168" s="212"/>
      <c r="K168" s="212"/>
      <c r="L168" s="212"/>
      <c r="M168" s="212"/>
      <c r="N168" s="212"/>
      <c r="O168" s="212"/>
      <c r="P168" s="246"/>
    </row>
    <row r="169" spans="2:16" ht="11.25">
      <c r="B169" s="245"/>
      <c r="C169" s="212"/>
      <c r="D169" s="212"/>
      <c r="E169" s="212"/>
      <c r="F169" s="212"/>
      <c r="G169" s="212"/>
      <c r="H169" s="212"/>
      <c r="I169" s="212"/>
      <c r="J169" s="212"/>
      <c r="K169" s="212"/>
      <c r="L169" s="212"/>
      <c r="M169" s="212"/>
      <c r="N169" s="212"/>
      <c r="O169" s="212"/>
      <c r="P169" s="246"/>
    </row>
    <row r="170" spans="2:16" ht="11.25">
      <c r="B170" s="245"/>
      <c r="C170" s="212"/>
      <c r="D170" s="212"/>
      <c r="E170" s="212"/>
      <c r="F170" s="212"/>
      <c r="G170" s="212"/>
      <c r="H170" s="212"/>
      <c r="I170" s="212"/>
      <c r="J170" s="212"/>
      <c r="K170" s="212"/>
      <c r="L170" s="212"/>
      <c r="M170" s="212"/>
      <c r="N170" s="212"/>
      <c r="O170" s="212"/>
      <c r="P170" s="246"/>
    </row>
    <row r="171" spans="2:16" ht="11.25">
      <c r="B171" s="245"/>
      <c r="C171" s="212"/>
      <c r="D171" s="212"/>
      <c r="E171" s="212"/>
      <c r="F171" s="212"/>
      <c r="G171" s="212"/>
      <c r="H171" s="212"/>
      <c r="I171" s="212"/>
      <c r="J171" s="212"/>
      <c r="K171" s="212"/>
      <c r="L171" s="212"/>
      <c r="M171" s="212"/>
      <c r="N171" s="212"/>
      <c r="O171" s="212"/>
      <c r="P171" s="246"/>
    </row>
    <row r="172" spans="2:16" ht="11.25">
      <c r="B172" s="245"/>
      <c r="C172" s="212"/>
      <c r="D172" s="212"/>
      <c r="E172" s="212"/>
      <c r="F172" s="212"/>
      <c r="G172" s="212"/>
      <c r="H172" s="212"/>
      <c r="I172" s="212"/>
      <c r="J172" s="212"/>
      <c r="K172" s="212"/>
      <c r="L172" s="212"/>
      <c r="M172" s="212"/>
      <c r="N172" s="212"/>
      <c r="O172" s="212"/>
      <c r="P172" s="246"/>
    </row>
    <row r="173" spans="2:16" ht="11.25">
      <c r="B173" s="245"/>
      <c r="C173" s="212"/>
      <c r="D173" s="212"/>
      <c r="E173" s="212"/>
      <c r="F173" s="212"/>
      <c r="G173" s="212"/>
      <c r="H173" s="212"/>
      <c r="I173" s="212"/>
      <c r="J173" s="212"/>
      <c r="K173" s="212"/>
      <c r="L173" s="212"/>
      <c r="M173" s="212"/>
      <c r="N173" s="212"/>
      <c r="O173" s="212"/>
      <c r="P173" s="246"/>
    </row>
    <row r="174" spans="2:16" ht="11.25">
      <c r="B174" s="245"/>
      <c r="C174" s="212"/>
      <c r="D174" s="212"/>
      <c r="E174" s="212"/>
      <c r="F174" s="212"/>
      <c r="G174" s="212"/>
      <c r="H174" s="212"/>
      <c r="I174" s="212"/>
      <c r="J174" s="212"/>
      <c r="K174" s="212"/>
      <c r="L174" s="212"/>
      <c r="M174" s="212"/>
      <c r="N174" s="212"/>
      <c r="O174" s="212"/>
      <c r="P174" s="246"/>
    </row>
    <row r="175" spans="2:16" ht="11.25">
      <c r="B175" s="245"/>
      <c r="C175" s="212"/>
      <c r="D175" s="212"/>
      <c r="E175" s="212"/>
      <c r="F175" s="212"/>
      <c r="G175" s="212"/>
      <c r="H175" s="212"/>
      <c r="I175" s="212"/>
      <c r="J175" s="212"/>
      <c r="K175" s="212"/>
      <c r="L175" s="212"/>
      <c r="M175" s="212"/>
      <c r="N175" s="212"/>
      <c r="O175" s="212"/>
      <c r="P175" s="246"/>
    </row>
    <row r="176" spans="2:16" ht="11.25">
      <c r="B176" s="245"/>
      <c r="C176" s="212"/>
      <c r="D176" s="212"/>
      <c r="E176" s="212"/>
      <c r="F176" s="212"/>
      <c r="G176" s="212"/>
      <c r="H176" s="212"/>
      <c r="I176" s="212"/>
      <c r="J176" s="212"/>
      <c r="K176" s="212"/>
      <c r="L176" s="212"/>
      <c r="M176" s="212"/>
      <c r="N176" s="212"/>
      <c r="O176" s="212"/>
      <c r="P176" s="246"/>
    </row>
    <row r="177" spans="2:16" ht="11.25">
      <c r="B177" s="245"/>
      <c r="C177" s="212"/>
      <c r="D177" s="212"/>
      <c r="E177" s="212"/>
      <c r="F177" s="212"/>
      <c r="G177" s="212"/>
      <c r="H177" s="212"/>
      <c r="I177" s="212"/>
      <c r="J177" s="212"/>
      <c r="K177" s="212"/>
      <c r="L177" s="212"/>
      <c r="M177" s="212"/>
      <c r="N177" s="212"/>
      <c r="O177" s="212"/>
      <c r="P177" s="246"/>
    </row>
    <row r="178" spans="2:16" ht="11.25">
      <c r="B178" s="245"/>
      <c r="C178" s="212"/>
      <c r="D178" s="212"/>
      <c r="E178" s="212"/>
      <c r="F178" s="212"/>
      <c r="G178" s="212"/>
      <c r="H178" s="212"/>
      <c r="I178" s="212"/>
      <c r="J178" s="212"/>
      <c r="K178" s="212"/>
      <c r="L178" s="212"/>
      <c r="M178" s="212"/>
      <c r="N178" s="212"/>
      <c r="O178" s="212"/>
      <c r="P178" s="246"/>
    </row>
    <row r="179" spans="2:16" ht="12" thickBot="1">
      <c r="B179" s="247"/>
      <c r="C179" s="248"/>
      <c r="D179" s="248"/>
      <c r="E179" s="248"/>
      <c r="F179" s="248"/>
      <c r="G179" s="248"/>
      <c r="H179" s="248"/>
      <c r="I179" s="248"/>
      <c r="J179" s="248"/>
      <c r="K179" s="248"/>
      <c r="L179" s="248"/>
      <c r="M179" s="248"/>
      <c r="N179" s="248"/>
      <c r="O179" s="248"/>
      <c r="P179" s="249"/>
    </row>
    <row r="180" ht="12" thickTop="1"/>
    <row r="211" spans="2:5" ht="11.25">
      <c r="B211" s="295"/>
      <c r="C211" s="295"/>
      <c r="D211" s="295"/>
      <c r="E211" s="295"/>
    </row>
    <row r="212" spans="2:5" ht="11.25" customHeight="1">
      <c r="B212" s="295"/>
      <c r="C212" s="295"/>
      <c r="D212" s="295"/>
      <c r="E212" s="295"/>
    </row>
    <row r="213" spans="2:5" ht="11.25">
      <c r="B213" s="295"/>
      <c r="C213" s="295"/>
      <c r="D213" s="295"/>
      <c r="E213" s="295"/>
    </row>
    <row r="214" spans="2:5" ht="11.25" customHeight="1">
      <c r="B214" s="295"/>
      <c r="C214" s="295"/>
      <c r="D214" s="295"/>
      <c r="E214" s="295"/>
    </row>
  </sheetData>
  <sheetProtection/>
  <mergeCells count="12">
    <mergeCell ref="C98:M98"/>
    <mergeCell ref="C6:P6"/>
    <mergeCell ref="C82:I82"/>
    <mergeCell ref="J82:P82"/>
    <mergeCell ref="J25:P25"/>
    <mergeCell ref="J8:P8"/>
    <mergeCell ref="J10:P12"/>
    <mergeCell ref="J71:P79"/>
    <mergeCell ref="B71:H79"/>
    <mergeCell ref="J14:P19"/>
    <mergeCell ref="J27:P29"/>
    <mergeCell ref="J31:P38"/>
  </mergeCells>
  <printOptions/>
  <pageMargins left="0.75" right="0.75" top="1" bottom="1" header="0.5" footer="0.5"/>
  <pageSetup fitToHeight="1" fitToWidth="1" horizontalDpi="600" verticalDpi="600" orientation="portrait" paperSize="8" scale="43" r:id="rId2"/>
  <headerFooter alignWithMargins="0">
    <oddFooter>&amp;CPage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M97"/>
  <sheetViews>
    <sheetView zoomScaleSheetLayoutView="100" workbookViewId="0" topLeftCell="A1">
      <selection activeCell="A1" sqref="A1"/>
    </sheetView>
  </sheetViews>
  <sheetFormatPr defaultColWidth="9.140625" defaultRowHeight="12.75"/>
  <cols>
    <col min="1" max="1" width="1.57421875" style="200" customWidth="1"/>
    <col min="2" max="2" width="17.8515625" style="200" customWidth="1"/>
    <col min="3" max="3" width="25.421875" style="200" customWidth="1"/>
    <col min="4" max="4" width="23.7109375" style="200" customWidth="1"/>
    <col min="5" max="5" width="9.28125" style="200" customWidth="1"/>
    <col min="6" max="6" width="8.8515625" style="200" bestFit="1" customWidth="1"/>
    <col min="7" max="7" width="10.421875" style="200" customWidth="1"/>
    <col min="8" max="8" width="16.28125" style="200" customWidth="1"/>
    <col min="9" max="9" width="56.8515625" style="200" customWidth="1"/>
    <col min="10" max="12" width="10.421875" style="200" customWidth="1"/>
    <col min="13" max="13" width="10.57421875" style="200" customWidth="1"/>
    <col min="14" max="14" width="10.421875" style="200" customWidth="1"/>
    <col min="15" max="16384" width="9.140625" style="200" customWidth="1"/>
  </cols>
  <sheetData>
    <row r="1" spans="2:9" ht="21.75" customHeight="1" thickTop="1">
      <c r="B1" s="296" t="s">
        <v>265</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154</v>
      </c>
      <c r="C4" s="212"/>
      <c r="D4" s="212"/>
      <c r="E4" s="212"/>
      <c r="F4" s="212"/>
      <c r="G4" s="212"/>
      <c r="H4" s="212"/>
      <c r="I4" s="246"/>
    </row>
    <row r="5" spans="2:9" ht="12" thickBot="1">
      <c r="B5" s="245"/>
      <c r="C5" s="212"/>
      <c r="D5" s="212"/>
      <c r="E5" s="212"/>
      <c r="F5" s="212"/>
      <c r="G5" s="212"/>
      <c r="H5" s="212"/>
      <c r="I5" s="246"/>
    </row>
    <row r="6" spans="2:9" s="268" customFormat="1" ht="131.25" customHeight="1">
      <c r="B6" s="581" t="s">
        <v>69</v>
      </c>
      <c r="C6" s="780" t="s">
        <v>281</v>
      </c>
      <c r="D6" s="780"/>
      <c r="E6" s="780"/>
      <c r="F6" s="780"/>
      <c r="G6" s="780"/>
      <c r="H6" s="780"/>
      <c r="I6" s="781"/>
    </row>
    <row r="7" spans="2:9" ht="11.25">
      <c r="B7" s="245"/>
      <c r="C7" s="300"/>
      <c r="D7" s="212"/>
      <c r="E7" s="212"/>
      <c r="F7" s="212"/>
      <c r="G7" s="212"/>
      <c r="H7" s="212"/>
      <c r="I7" s="246"/>
    </row>
    <row r="8" spans="2:9" ht="15">
      <c r="B8" s="245"/>
      <c r="C8" s="300"/>
      <c r="D8" s="212"/>
      <c r="E8" s="212"/>
      <c r="F8" s="695" t="s">
        <v>159</v>
      </c>
      <c r="G8" s="696"/>
      <c r="H8" s="696"/>
      <c r="I8" s="697"/>
    </row>
    <row r="9" spans="2:9" ht="14.25">
      <c r="B9" s="245"/>
      <c r="C9" s="300"/>
      <c r="D9" s="212"/>
      <c r="E9" s="212"/>
      <c r="F9" s="489"/>
      <c r="G9" s="568"/>
      <c r="H9" s="568"/>
      <c r="I9" s="228"/>
    </row>
    <row r="10" spans="2:9" ht="11.25">
      <c r="B10" s="245"/>
      <c r="C10" s="300"/>
      <c r="D10" s="212"/>
      <c r="E10" s="212"/>
      <c r="F10" s="645" t="s">
        <v>215</v>
      </c>
      <c r="G10" s="637"/>
      <c r="H10" s="637"/>
      <c r="I10" s="638"/>
    </row>
    <row r="11" spans="2:9" ht="15.75" customHeight="1">
      <c r="B11" s="245"/>
      <c r="C11" s="300"/>
      <c r="D11" s="212"/>
      <c r="E11" s="212"/>
      <c r="F11" s="645"/>
      <c r="G11" s="637"/>
      <c r="H11" s="637"/>
      <c r="I11" s="638"/>
    </row>
    <row r="12" spans="2:9" ht="14.25">
      <c r="B12" s="245"/>
      <c r="C12" s="300"/>
      <c r="D12" s="212"/>
      <c r="E12" s="212"/>
      <c r="F12" s="148"/>
      <c r="G12" s="149"/>
      <c r="H12" s="569"/>
      <c r="I12" s="582"/>
    </row>
    <row r="13" spans="2:9" ht="11.25" customHeight="1">
      <c r="B13" s="245"/>
      <c r="C13" s="300"/>
      <c r="D13" s="212"/>
      <c r="E13" s="212"/>
      <c r="F13" s="777" t="s">
        <v>282</v>
      </c>
      <c r="G13" s="778"/>
      <c r="H13" s="778"/>
      <c r="I13" s="779"/>
    </row>
    <row r="14" spans="2:9" ht="11.25" customHeight="1">
      <c r="B14" s="245"/>
      <c r="C14" s="300"/>
      <c r="D14" s="212"/>
      <c r="E14" s="212"/>
      <c r="F14" s="777"/>
      <c r="G14" s="778"/>
      <c r="H14" s="778"/>
      <c r="I14" s="779"/>
    </row>
    <row r="15" spans="2:9" ht="11.25" customHeight="1">
      <c r="B15" s="245"/>
      <c r="C15" s="300"/>
      <c r="D15" s="212"/>
      <c r="E15" s="212"/>
      <c r="F15" s="777"/>
      <c r="G15" s="778"/>
      <c r="H15" s="778"/>
      <c r="I15" s="779"/>
    </row>
    <row r="16" spans="2:9" ht="11.25" customHeight="1">
      <c r="B16" s="245"/>
      <c r="C16" s="300"/>
      <c r="D16" s="212"/>
      <c r="E16" s="212"/>
      <c r="F16" s="777"/>
      <c r="G16" s="778"/>
      <c r="H16" s="778"/>
      <c r="I16" s="779"/>
    </row>
    <row r="17" spans="2:9" ht="11.25" customHeight="1">
      <c r="B17" s="245"/>
      <c r="C17" s="300"/>
      <c r="D17" s="212"/>
      <c r="E17" s="212"/>
      <c r="F17" s="777"/>
      <c r="G17" s="778"/>
      <c r="H17" s="778"/>
      <c r="I17" s="779"/>
    </row>
    <row r="18" spans="2:9" ht="11.25" customHeight="1">
      <c r="B18" s="245"/>
      <c r="C18" s="300"/>
      <c r="D18" s="212"/>
      <c r="E18" s="212"/>
      <c r="F18" s="777"/>
      <c r="G18" s="778"/>
      <c r="H18" s="778"/>
      <c r="I18" s="779"/>
    </row>
    <row r="19" spans="2:9" ht="21.75" customHeight="1">
      <c r="B19" s="245"/>
      <c r="C19" s="300"/>
      <c r="D19" s="212"/>
      <c r="E19" s="212"/>
      <c r="F19" s="777"/>
      <c r="G19" s="778"/>
      <c r="H19" s="778"/>
      <c r="I19" s="779"/>
    </row>
    <row r="20" spans="2:9" ht="14.25">
      <c r="B20" s="245"/>
      <c r="C20" s="300"/>
      <c r="D20" s="212"/>
      <c r="E20" s="212"/>
      <c r="F20" s="148"/>
      <c r="G20" s="149"/>
      <c r="H20" s="199"/>
      <c r="I20" s="228"/>
    </row>
    <row r="21" spans="2:9" ht="14.25">
      <c r="B21" s="245"/>
      <c r="C21" s="300"/>
      <c r="D21" s="212"/>
      <c r="E21" s="212"/>
      <c r="F21" s="148"/>
      <c r="G21" s="149"/>
      <c r="H21" s="199"/>
      <c r="I21" s="228"/>
    </row>
    <row r="22" spans="2:9" ht="14.25">
      <c r="B22" s="245"/>
      <c r="C22" s="300"/>
      <c r="D22" s="212"/>
      <c r="E22" s="212"/>
      <c r="F22" s="148"/>
      <c r="G22" s="149"/>
      <c r="H22" s="199"/>
      <c r="I22" s="228"/>
    </row>
    <row r="23" spans="2:9" ht="14.25">
      <c r="B23" s="245"/>
      <c r="C23" s="300"/>
      <c r="D23" s="212"/>
      <c r="E23" s="212"/>
      <c r="F23" s="570"/>
      <c r="G23" s="571"/>
      <c r="H23" s="572"/>
      <c r="I23" s="583"/>
    </row>
    <row r="24" spans="2:9" ht="11.25">
      <c r="B24" s="245"/>
      <c r="C24" s="300"/>
      <c r="D24" s="212"/>
      <c r="E24" s="212"/>
      <c r="F24" s="212"/>
      <c r="G24" s="212"/>
      <c r="H24" s="212"/>
      <c r="I24" s="246"/>
    </row>
    <row r="25" spans="2:9" ht="11.25">
      <c r="B25" s="245"/>
      <c r="C25" s="300"/>
      <c r="D25" s="212"/>
      <c r="E25" s="212"/>
      <c r="F25" s="212"/>
      <c r="G25" s="212"/>
      <c r="H25" s="212"/>
      <c r="I25" s="246"/>
    </row>
    <row r="26" spans="2:9" ht="15.75">
      <c r="B26" s="227" t="s">
        <v>152</v>
      </c>
      <c r="C26" s="300"/>
      <c r="D26" s="212"/>
      <c r="E26" s="212"/>
      <c r="F26" s="212"/>
      <c r="G26" s="212"/>
      <c r="H26" s="212"/>
      <c r="I26" s="246"/>
    </row>
    <row r="27" spans="2:9" ht="11.25">
      <c r="B27" s="245"/>
      <c r="C27" s="300"/>
      <c r="D27" s="212"/>
      <c r="E27" s="212"/>
      <c r="F27" s="212"/>
      <c r="G27" s="212"/>
      <c r="H27" s="212"/>
      <c r="I27" s="246"/>
    </row>
    <row r="28" spans="2:9" ht="11.25">
      <c r="B28" s="245"/>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ustomHeight="1">
      <c r="B50" s="776" t="s">
        <v>12</v>
      </c>
      <c r="C50" s="774"/>
      <c r="D50" s="774"/>
      <c r="E50" s="774"/>
      <c r="F50" s="774"/>
      <c r="G50" s="774"/>
      <c r="H50" s="774"/>
      <c r="I50" s="775"/>
    </row>
    <row r="51" spans="2:9" ht="11.25" customHeight="1">
      <c r="B51" s="776"/>
      <c r="C51" s="774"/>
      <c r="D51" s="774"/>
      <c r="E51" s="774"/>
      <c r="F51" s="774"/>
      <c r="G51" s="774"/>
      <c r="H51" s="774"/>
      <c r="I51" s="775"/>
    </row>
    <row r="52" spans="2:9" ht="11.25" customHeight="1">
      <c r="B52" s="776"/>
      <c r="C52" s="774"/>
      <c r="D52" s="774"/>
      <c r="E52" s="774"/>
      <c r="F52" s="774"/>
      <c r="G52" s="774"/>
      <c r="H52" s="774"/>
      <c r="I52" s="775"/>
    </row>
    <row r="53" spans="2:9" ht="11.25" customHeight="1">
      <c r="B53" s="776"/>
      <c r="C53" s="774"/>
      <c r="D53" s="774"/>
      <c r="E53" s="774"/>
      <c r="F53" s="774"/>
      <c r="G53" s="774"/>
      <c r="H53" s="774"/>
      <c r="I53" s="775"/>
    </row>
    <row r="54" spans="2:9" ht="11.25" customHeight="1">
      <c r="B54" s="776"/>
      <c r="C54" s="774"/>
      <c r="D54" s="774"/>
      <c r="E54" s="774"/>
      <c r="F54" s="774"/>
      <c r="G54" s="774"/>
      <c r="H54" s="774"/>
      <c r="I54" s="775"/>
    </row>
    <row r="55" spans="2:9" ht="11.25" customHeight="1">
      <c r="B55" s="776"/>
      <c r="C55" s="774"/>
      <c r="D55" s="774"/>
      <c r="E55" s="774"/>
      <c r="F55" s="774"/>
      <c r="G55" s="774"/>
      <c r="H55" s="774"/>
      <c r="I55" s="775"/>
    </row>
    <row r="56" spans="2:9" ht="11.25" customHeight="1">
      <c r="B56" s="776"/>
      <c r="C56" s="774"/>
      <c r="D56" s="774"/>
      <c r="E56" s="774"/>
      <c r="F56" s="774"/>
      <c r="G56" s="774"/>
      <c r="H56" s="774"/>
      <c r="I56" s="775"/>
    </row>
    <row r="57" spans="2:9" ht="11.25" customHeight="1">
      <c r="B57" s="776"/>
      <c r="C57" s="774"/>
      <c r="D57" s="774"/>
      <c r="E57" s="774"/>
      <c r="F57" s="774"/>
      <c r="G57" s="774"/>
      <c r="H57" s="774"/>
      <c r="I57" s="775"/>
    </row>
    <row r="58" spans="2:9" ht="11.25">
      <c r="B58" s="245"/>
      <c r="C58" s="300"/>
      <c r="D58" s="212"/>
      <c r="E58" s="212"/>
      <c r="F58" s="212"/>
      <c r="G58" s="212"/>
      <c r="H58" s="212"/>
      <c r="I58" s="246"/>
    </row>
    <row r="59" spans="2:9" ht="15.75">
      <c r="B59" s="227" t="s">
        <v>153</v>
      </c>
      <c r="C59" s="300"/>
      <c r="D59" s="212"/>
      <c r="E59" s="212"/>
      <c r="F59" s="212"/>
      <c r="G59" s="212"/>
      <c r="H59" s="212"/>
      <c r="I59" s="246"/>
    </row>
    <row r="60" spans="2:9" ht="12" thickBot="1">
      <c r="B60" s="245"/>
      <c r="C60" s="212"/>
      <c r="D60" s="212"/>
      <c r="E60" s="212"/>
      <c r="F60" s="212"/>
      <c r="G60" s="212"/>
      <c r="H60" s="212"/>
      <c r="I60" s="246"/>
    </row>
    <row r="61" spans="2:10" ht="43.5">
      <c r="B61" s="303" t="s">
        <v>40</v>
      </c>
      <c r="C61" s="573" t="s">
        <v>206</v>
      </c>
      <c r="D61" s="574" t="s">
        <v>207</v>
      </c>
      <c r="E61" s="575"/>
      <c r="F61" s="575"/>
      <c r="G61" s="575"/>
      <c r="H61" s="576"/>
      <c r="I61" s="584"/>
      <c r="J61" s="279"/>
    </row>
    <row r="62" spans="2:10" ht="14.25">
      <c r="B62" s="305">
        <v>40634</v>
      </c>
      <c r="C62" s="182">
        <v>145.078292017228</v>
      </c>
      <c r="D62" s="577">
        <f>C62</f>
        <v>145.078292017228</v>
      </c>
      <c r="E62" s="328"/>
      <c r="F62" s="328"/>
      <c r="G62" s="328"/>
      <c r="H62" s="328"/>
      <c r="I62" s="585"/>
      <c r="J62" s="279"/>
    </row>
    <row r="63" spans="2:10" ht="14.25">
      <c r="B63" s="305">
        <v>40664</v>
      </c>
      <c r="C63" s="182">
        <v>185.10958170000004</v>
      </c>
      <c r="D63" s="577">
        <f>D62+C63</f>
        <v>330.18787371722806</v>
      </c>
      <c r="E63" s="328"/>
      <c r="F63" s="328"/>
      <c r="G63" s="328"/>
      <c r="H63" s="328"/>
      <c r="I63" s="585"/>
      <c r="J63" s="279"/>
    </row>
    <row r="64" spans="2:10" ht="14.25">
      <c r="B64" s="305">
        <v>40695</v>
      </c>
      <c r="C64" s="182">
        <v>216.2280028096</v>
      </c>
      <c r="D64" s="577">
        <f>D63+C64</f>
        <v>546.415876526828</v>
      </c>
      <c r="E64" s="328"/>
      <c r="F64" s="328"/>
      <c r="G64" s="328"/>
      <c r="H64" s="328"/>
      <c r="I64" s="585"/>
      <c r="J64" s="279"/>
    </row>
    <row r="65" spans="2:10" ht="14.25">
      <c r="B65" s="305">
        <v>40725</v>
      </c>
      <c r="C65" s="182"/>
      <c r="D65" s="577">
        <f>IF(C65&gt;0,C65+D64,"")</f>
      </c>
      <c r="E65" s="328"/>
      <c r="F65" s="328"/>
      <c r="G65" s="328"/>
      <c r="H65" s="328"/>
      <c r="I65" s="585"/>
      <c r="J65" s="279"/>
    </row>
    <row r="66" spans="2:10" ht="14.25">
      <c r="B66" s="305">
        <v>40756</v>
      </c>
      <c r="C66" s="182"/>
      <c r="D66" s="577">
        <f aca="true" t="shared" si="0" ref="D66:D73">IF(C66&gt;0,C66+D65,"")</f>
      </c>
      <c r="E66" s="328"/>
      <c r="F66" s="328"/>
      <c r="G66" s="328"/>
      <c r="H66" s="328"/>
      <c r="I66" s="585"/>
      <c r="J66" s="279"/>
    </row>
    <row r="67" spans="2:10" ht="14.25">
      <c r="B67" s="305">
        <v>40787</v>
      </c>
      <c r="C67" s="182"/>
      <c r="D67" s="577">
        <f t="shared" si="0"/>
      </c>
      <c r="E67" s="328"/>
      <c r="F67" s="328"/>
      <c r="G67" s="328"/>
      <c r="H67" s="328"/>
      <c r="I67" s="585"/>
      <c r="J67" s="279"/>
    </row>
    <row r="68" spans="2:9" ht="14.25">
      <c r="B68" s="305">
        <v>40817</v>
      </c>
      <c r="C68" s="182"/>
      <c r="D68" s="577">
        <f>IF(C68&gt;0,C68+D67,"")</f>
      </c>
      <c r="E68" s="328"/>
      <c r="F68" s="328"/>
      <c r="G68" s="328"/>
      <c r="H68" s="578"/>
      <c r="I68" s="586"/>
    </row>
    <row r="69" spans="2:9" ht="14.25">
      <c r="B69" s="305">
        <v>40848</v>
      </c>
      <c r="C69" s="182"/>
      <c r="D69" s="577">
        <f>IF(C69&gt;0,C69+D68,"")</f>
      </c>
      <c r="E69" s="328"/>
      <c r="F69" s="328"/>
      <c r="G69" s="328"/>
      <c r="H69" s="578"/>
      <c r="I69" s="586"/>
    </row>
    <row r="70" spans="2:10" ht="14.25">
      <c r="B70" s="305">
        <v>40878</v>
      </c>
      <c r="C70" s="182"/>
      <c r="D70" s="577">
        <f>IF(C70&gt;0,C70+D69,"")</f>
      </c>
      <c r="E70" s="328"/>
      <c r="F70" s="328"/>
      <c r="G70" s="328"/>
      <c r="H70" s="328"/>
      <c r="I70" s="585"/>
      <c r="J70" s="279"/>
    </row>
    <row r="71" spans="2:10" ht="14.25">
      <c r="B71" s="305">
        <v>40909</v>
      </c>
      <c r="C71" s="182"/>
      <c r="D71" s="577">
        <f t="shared" si="0"/>
      </c>
      <c r="E71" s="328"/>
      <c r="F71" s="328"/>
      <c r="G71" s="328"/>
      <c r="H71" s="328"/>
      <c r="I71" s="585"/>
      <c r="J71" s="279"/>
    </row>
    <row r="72" spans="2:10" ht="14.25">
      <c r="B72" s="305">
        <v>40940</v>
      </c>
      <c r="C72" s="182"/>
      <c r="D72" s="577">
        <f t="shared" si="0"/>
      </c>
      <c r="E72" s="328"/>
      <c r="F72" s="328"/>
      <c r="G72" s="328"/>
      <c r="H72" s="328"/>
      <c r="I72" s="585"/>
      <c r="J72" s="279"/>
    </row>
    <row r="73" spans="2:10" ht="15" thickBot="1">
      <c r="B73" s="305">
        <v>40969</v>
      </c>
      <c r="C73" s="182"/>
      <c r="D73" s="577">
        <f t="shared" si="0"/>
      </c>
      <c r="E73" s="328"/>
      <c r="F73" s="328"/>
      <c r="G73" s="328"/>
      <c r="H73" s="328"/>
      <c r="I73" s="585"/>
      <c r="J73" s="279"/>
    </row>
    <row r="74" spans="2:10" ht="15" thickBot="1">
      <c r="B74" s="587" t="s">
        <v>83</v>
      </c>
      <c r="C74" s="579">
        <f>SUM(C62:C73)</f>
        <v>546.415876526828</v>
      </c>
      <c r="D74" s="580"/>
      <c r="E74" s="328"/>
      <c r="F74" s="328"/>
      <c r="G74" s="328"/>
      <c r="H74" s="328"/>
      <c r="I74" s="309"/>
      <c r="J74" s="279"/>
    </row>
    <row r="75" spans="2:13" ht="11.25">
      <c r="B75" s="245"/>
      <c r="C75" s="212"/>
      <c r="D75" s="212"/>
      <c r="E75" s="212"/>
      <c r="F75" s="212"/>
      <c r="G75" s="212"/>
      <c r="H75" s="212"/>
      <c r="I75" s="246"/>
      <c r="J75" s="293"/>
      <c r="K75" s="293"/>
      <c r="L75" s="293"/>
      <c r="M75" s="293"/>
    </row>
    <row r="76" spans="2:9" ht="11.25">
      <c r="B76" s="245"/>
      <c r="C76" s="212"/>
      <c r="D76" s="212"/>
      <c r="E76" s="212"/>
      <c r="F76" s="212"/>
      <c r="G76" s="212"/>
      <c r="H76" s="212"/>
      <c r="I76" s="246"/>
    </row>
    <row r="77" spans="2:9" ht="11.25">
      <c r="B77" s="245"/>
      <c r="C77" s="212"/>
      <c r="D77" s="212"/>
      <c r="E77" s="212"/>
      <c r="F77" s="212"/>
      <c r="G77" s="212"/>
      <c r="H77" s="212"/>
      <c r="I77" s="246"/>
    </row>
    <row r="78" spans="2:9" ht="11.25">
      <c r="B78" s="245"/>
      <c r="C78" s="212"/>
      <c r="D78" s="212"/>
      <c r="E78" s="212"/>
      <c r="F78" s="212"/>
      <c r="G78" s="212"/>
      <c r="H78" s="212"/>
      <c r="I78" s="246"/>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2" thickBot="1">
      <c r="B97" s="247"/>
      <c r="C97" s="248"/>
      <c r="D97" s="248"/>
      <c r="E97" s="248"/>
      <c r="F97" s="248"/>
      <c r="G97" s="248"/>
      <c r="H97" s="248"/>
      <c r="I97" s="249"/>
    </row>
    <row r="98" ht="12" thickTop="1"/>
  </sheetData>
  <sheetProtection/>
  <mergeCells count="5">
    <mergeCell ref="B50:I57"/>
    <mergeCell ref="F13:I19"/>
    <mergeCell ref="C6:I6"/>
    <mergeCell ref="F8:I8"/>
    <mergeCell ref="F10:I11"/>
  </mergeCells>
  <printOptions/>
  <pageMargins left="0.75" right="0.75" top="1" bottom="1" header="0.5" footer="0.5"/>
  <pageSetup fitToHeight="1" fitToWidth="1" horizontalDpi="600" verticalDpi="600" orientation="portrait" paperSize="8" scale="78" r:id="rId2"/>
  <headerFooter alignWithMargins="0">
    <oddFooter>&amp;CPage &amp;P of &amp;N</oddFooter>
  </headerFooter>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ben.dickel</cp:lastModifiedBy>
  <cp:lastPrinted>2011-08-16T07:32:58Z</cp:lastPrinted>
  <dcterms:created xsi:type="dcterms:W3CDTF">2010-09-06T06:56:51Z</dcterms:created>
  <dcterms:modified xsi:type="dcterms:W3CDTF">2012-03-09T13:46:58Z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